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0-2021\draft budget\Tariffs\"/>
    </mc:Choice>
  </mc:AlternateContent>
  <bookViews>
    <workbookView xWindow="0" yWindow="0" windowWidth="24000" windowHeight="8835"/>
  </bookViews>
  <sheets>
    <sheet name="2018-2019" sheetId="6" r:id="rId1"/>
    <sheet name="Application" sheetId="7" r:id="rId2"/>
  </sheets>
  <externalReferences>
    <externalReference r:id="rId3"/>
  </externalReferences>
  <definedNames>
    <definedName name="_xlnm.Print_Area" localSheetId="1">Application!$A$1:$G$79</definedName>
  </definedNames>
  <calcPr calcId="152511"/>
</workbook>
</file>

<file path=xl/calcChain.xml><?xml version="1.0" encoding="utf-8"?>
<calcChain xmlns="http://schemas.openxmlformats.org/spreadsheetml/2006/main">
  <c r="G132" i="6" l="1"/>
  <c r="F85" i="6" l="1"/>
  <c r="F57" i="7" s="1"/>
  <c r="C34" i="7"/>
  <c r="C35" i="7"/>
  <c r="C33" i="7"/>
  <c r="D46" i="7"/>
  <c r="D43" i="7"/>
  <c r="D42" i="7"/>
  <c r="D39" i="7"/>
  <c r="D23" i="7"/>
  <c r="C22" i="7"/>
  <c r="C21" i="7"/>
  <c r="H97" i="6" l="1"/>
  <c r="D103" i="6" l="1"/>
  <c r="D102" i="6"/>
  <c r="D101" i="6"/>
  <c r="C82" i="6"/>
  <c r="C76" i="6"/>
  <c r="C79" i="6"/>
  <c r="C73" i="6" l="1"/>
  <c r="C72" i="6"/>
  <c r="C70" i="6"/>
  <c r="C67" i="6"/>
  <c r="C66" i="6"/>
  <c r="B57" i="6"/>
  <c r="G57" i="6" s="1"/>
  <c r="B56" i="6"/>
  <c r="G56" i="6" s="1"/>
  <c r="G54" i="6"/>
  <c r="G134" i="6" l="1"/>
  <c r="G144" i="6"/>
  <c r="G143" i="6"/>
  <c r="G142" i="6"/>
  <c r="G140" i="6"/>
  <c r="G139" i="6"/>
  <c r="G138" i="6"/>
  <c r="G137" i="6"/>
  <c r="G136" i="6"/>
  <c r="G133" i="6"/>
  <c r="G128" i="6"/>
  <c r="G127" i="6"/>
  <c r="G124" i="6"/>
  <c r="G122" i="6"/>
  <c r="G121" i="6"/>
  <c r="G119" i="6"/>
  <c r="G117" i="6"/>
  <c r="G109" i="6" l="1"/>
  <c r="G110" i="6"/>
  <c r="G108" i="6"/>
  <c r="G102" i="6" l="1"/>
  <c r="G103" i="6"/>
  <c r="G101" i="6"/>
  <c r="G85" i="6"/>
  <c r="F82" i="6"/>
  <c r="G82" i="6" s="1"/>
  <c r="F79" i="6"/>
  <c r="G79" i="6" s="1"/>
  <c r="F76" i="6"/>
  <c r="G76" i="6" s="1"/>
  <c r="F67" i="6"/>
  <c r="F66" i="6"/>
  <c r="F73" i="6"/>
  <c r="G73" i="6" s="1"/>
  <c r="F72" i="6"/>
  <c r="G72" i="6" s="1"/>
  <c r="H110" i="6"/>
  <c r="H109" i="6"/>
  <c r="H108" i="6"/>
  <c r="F91" i="6"/>
  <c r="G91" i="6" s="1"/>
  <c r="F88" i="6"/>
  <c r="F70" i="6"/>
  <c r="G70" i="6" s="1"/>
  <c r="F69" i="6"/>
  <c r="E61" i="6"/>
  <c r="F61" i="6" s="1"/>
  <c r="G61" i="6" s="1"/>
  <c r="E62" i="6"/>
  <c r="F62" i="6" s="1"/>
  <c r="G62" i="6" s="1"/>
  <c r="E63" i="6"/>
  <c r="F63" i="6" s="1"/>
  <c r="G63" i="6" s="1"/>
  <c r="E60" i="6"/>
  <c r="F60" i="6" s="1"/>
  <c r="G60" i="6" s="1"/>
  <c r="E55" i="6"/>
  <c r="F55" i="6" s="1"/>
  <c r="G55" i="6" s="1"/>
  <c r="E56" i="6"/>
  <c r="E57" i="6"/>
  <c r="E54" i="6"/>
  <c r="E48" i="6"/>
  <c r="F48" i="6" s="1"/>
  <c r="G48" i="6" s="1"/>
  <c r="E49" i="6"/>
  <c r="F49" i="6" s="1"/>
  <c r="G49" i="6" s="1"/>
  <c r="E50" i="6"/>
  <c r="F50" i="6" s="1"/>
  <c r="G50" i="6" s="1"/>
  <c r="E47" i="6"/>
  <c r="F47" i="6" s="1"/>
  <c r="G47" i="6" s="1"/>
  <c r="F28" i="6"/>
  <c r="F27" i="6"/>
  <c r="F26" i="6"/>
  <c r="F17" i="6"/>
  <c r="F16" i="6"/>
  <c r="F15" i="6"/>
  <c r="F13" i="6"/>
  <c r="F12" i="6"/>
  <c r="F10" i="6"/>
  <c r="F9" i="6"/>
  <c r="H101" i="6" l="1"/>
  <c r="F59" i="7"/>
  <c r="H103" i="6"/>
  <c r="F70" i="7"/>
  <c r="H102" i="6"/>
  <c r="F60" i="7"/>
  <c r="G26" i="6"/>
  <c r="F51" i="7"/>
  <c r="G10" i="6"/>
  <c r="F16" i="7"/>
  <c r="G16" i="6"/>
  <c r="F34" i="7"/>
  <c r="G28" i="6"/>
  <c r="F53" i="7"/>
  <c r="G17" i="6"/>
  <c r="F35" i="7"/>
  <c r="G9" i="6"/>
  <c r="H10" i="6" s="1"/>
  <c r="F9" i="7"/>
  <c r="G15" i="6"/>
  <c r="F33" i="7"/>
  <c r="G27" i="6"/>
  <c r="F52" i="7"/>
  <c r="I104" i="6"/>
  <c r="I111" i="6"/>
  <c r="I113" i="6" s="1"/>
  <c r="I114" i="6" s="1"/>
  <c r="F18" i="6" l="1"/>
  <c r="G18" i="6" s="1"/>
  <c r="H18" i="6" s="1"/>
  <c r="F20" i="6"/>
  <c r="G20" i="6" s="1"/>
  <c r="F21" i="6"/>
  <c r="G21" i="6" s="1"/>
  <c r="F22" i="6"/>
  <c r="G22" i="6" s="1"/>
  <c r="F29" i="6"/>
  <c r="F58" i="7" s="1"/>
  <c r="F32" i="6"/>
  <c r="G32" i="6" s="1"/>
  <c r="F33" i="6"/>
  <c r="G33" i="6" s="1"/>
  <c r="F34" i="6"/>
  <c r="G34" i="6" s="1"/>
  <c r="F35" i="6"/>
  <c r="G35" i="6" s="1"/>
  <c r="F36" i="6"/>
  <c r="G36" i="6" s="1"/>
  <c r="F39" i="6"/>
  <c r="F64" i="7" s="1"/>
  <c r="F40" i="6"/>
  <c r="F65" i="7" s="1"/>
  <c r="F41" i="6"/>
  <c r="F66" i="7" s="1"/>
  <c r="F42" i="6"/>
  <c r="G42" i="6" l="1"/>
  <c r="H42" i="6" s="1"/>
  <c r="F71" i="7"/>
  <c r="H36" i="6"/>
  <c r="H22" i="6"/>
  <c r="G29" i="6"/>
  <c r="F25" i="6"/>
  <c r="H73" i="6"/>
  <c r="H74" i="6" s="1"/>
  <c r="G25" i="6" l="1"/>
  <c r="H29" i="6" s="1"/>
  <c r="F47" i="7"/>
  <c r="B67" i="6"/>
  <c r="B68" i="6"/>
  <c r="B66" i="6"/>
  <c r="G66" i="6" s="1"/>
  <c r="G67" i="6" l="1"/>
  <c r="G92" i="6" s="1"/>
  <c r="E45" i="6"/>
  <c r="C58" i="6" l="1"/>
  <c r="C51" i="6"/>
</calcChain>
</file>

<file path=xl/comments1.xml><?xml version="1.0" encoding="utf-8"?>
<comments xmlns="http://schemas.openxmlformats.org/spreadsheetml/2006/main">
  <authors>
    <author>Dominic Mahubane</author>
  </authors>
  <commentList>
    <comment ref="F72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tariff increased by 17%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17%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18%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>Dominic Mahubane:</t>
        </r>
        <r>
          <rPr>
            <sz val="9"/>
            <color indexed="81"/>
            <rFont val="Tahoma"/>
            <family val="2"/>
          </rPr>
          <t xml:space="preserve">
Below Minimun approved tariff increased by 15%</t>
        </r>
      </text>
    </comment>
  </commentList>
</comments>
</file>

<file path=xl/sharedStrings.xml><?xml version="1.0" encoding="utf-8"?>
<sst xmlns="http://schemas.openxmlformats.org/spreadsheetml/2006/main" count="224" uniqueCount="108">
  <si>
    <t>BASIC CHARGES</t>
  </si>
  <si>
    <t>CATEGORY</t>
  </si>
  <si>
    <t>PHASE</t>
  </si>
  <si>
    <t>CONSUMERS</t>
  </si>
  <si>
    <t>OLD</t>
  </si>
  <si>
    <t>PROPOSED</t>
  </si>
  <si>
    <t>DOMESTIC</t>
  </si>
  <si>
    <t>TEMP CONNECTIONS</t>
  </si>
  <si>
    <t>BUSINESS</t>
  </si>
  <si>
    <t>BULK</t>
  </si>
  <si>
    <t>INDUSTRIAL</t>
  </si>
  <si>
    <t>AGRICULTURAL</t>
  </si>
  <si>
    <t>CONSUMPTION</t>
  </si>
  <si>
    <t>AGRICULTURAL BULK</t>
  </si>
  <si>
    <t>VACANT STANDS</t>
  </si>
  <si>
    <t>RESIDENTIAL</t>
  </si>
  <si>
    <t>RECONNECTION AFTER NON PAYMENT</t>
  </si>
  <si>
    <t>CONNECTION FEE</t>
  </si>
  <si>
    <t>TEST OF METERS</t>
  </si>
  <si>
    <t xml:space="preserve">TEMP CONNECTIONS </t>
  </si>
  <si>
    <t>AMPS (kVA)</t>
  </si>
  <si>
    <t>DOMESTIC BLOCK 1</t>
  </si>
  <si>
    <t>DOMESTIC BLOCK 2</t>
  </si>
  <si>
    <t>DOMESTIC BLOCK 3</t>
  </si>
  <si>
    <t>DOMESTIC BLOCK 4</t>
  </si>
  <si>
    <t>KWH</t>
  </si>
  <si>
    <t>0-50KWH</t>
  </si>
  <si>
    <t>51-350KWH</t>
  </si>
  <si>
    <t>351-600KWH</t>
  </si>
  <si>
    <t>&gt;600KWH</t>
  </si>
  <si>
    <t>NO OF CUSTOMERS</t>
  </si>
  <si>
    <t>DOMESTIC PREPAID 1ph</t>
  </si>
  <si>
    <t>DOMESTIC PREPAID 3ph</t>
  </si>
  <si>
    <t>COM / IND BULK</t>
  </si>
  <si>
    <t>DOMESTIC CONVENTIONAL</t>
  </si>
  <si>
    <t>COMM / IND CONVENTIIONAL</t>
  </si>
  <si>
    <t>COMM / IND PREPAID</t>
  </si>
  <si>
    <t>Church/Schools</t>
  </si>
  <si>
    <t>all</t>
  </si>
  <si>
    <t>Streetlights</t>
  </si>
  <si>
    <t>Departmental</t>
  </si>
  <si>
    <t>&gt;80</t>
  </si>
  <si>
    <t>Church/School/Charitible</t>
  </si>
  <si>
    <t>Departmental/Streetlights</t>
  </si>
  <si>
    <t>single phase</t>
  </si>
  <si>
    <t>Three phase</t>
  </si>
  <si>
    <t>Homes/Charitable</t>
  </si>
  <si>
    <t xml:space="preserve">EPHRAIM MOGALE LOCAL MUNICIPALITY  </t>
  </si>
  <si>
    <t>Above 150A</t>
  </si>
  <si>
    <t>Business</t>
  </si>
  <si>
    <t>Energy Charge</t>
  </si>
  <si>
    <t>2018/2019
TARIFFS</t>
  </si>
  <si>
    <t>2019/2020 TARIFFS</t>
  </si>
  <si>
    <t>PROPOSED ELECTRICITY TARIFFS 2019-2020</t>
  </si>
  <si>
    <t>2018/2019</t>
  </si>
  <si>
    <t>COMMERCIAL</t>
  </si>
  <si>
    <t>13.07% increase</t>
  </si>
  <si>
    <t>PROPOSED 2019/2020 TARIFFS</t>
  </si>
  <si>
    <t>(3000kWh)</t>
  </si>
  <si>
    <t>COMM / IND CONVENTIONAL 3P</t>
  </si>
  <si>
    <t>(5500kWh)</t>
  </si>
  <si>
    <t xml:space="preserve">COMM/IND MEDIUM </t>
  </si>
  <si>
    <t>(11500kWh)</t>
  </si>
  <si>
    <t>2016/2017</t>
  </si>
  <si>
    <t>Proposed 2019-2020</t>
  </si>
  <si>
    <t>Estimated Income</t>
  </si>
  <si>
    <t>Total estimated income</t>
  </si>
  <si>
    <t>TOTAL</t>
  </si>
  <si>
    <t>Vat inclusive</t>
  </si>
  <si>
    <t>TARIFF 2018/2019</t>
  </si>
  <si>
    <t>Proposed TARIFF 2019/2020</t>
  </si>
  <si>
    <t>NEW CONNECTIONS</t>
  </si>
  <si>
    <t>(including ext 6)</t>
  </si>
  <si>
    <t>PENALTIES FOR TAMPERING</t>
  </si>
  <si>
    <t>Residential</t>
  </si>
  <si>
    <t>1st offence</t>
  </si>
  <si>
    <t>2nd offence</t>
  </si>
  <si>
    <t>3rd offence</t>
  </si>
  <si>
    <t>Bulk</t>
  </si>
  <si>
    <t>MAXIMUM DEMAND</t>
  </si>
  <si>
    <t>DEMAND CHARGE</t>
  </si>
  <si>
    <t>UNITS</t>
  </si>
  <si>
    <t>2016-2017</t>
  </si>
  <si>
    <t>2018-2019</t>
  </si>
  <si>
    <t>Estimated income</t>
  </si>
  <si>
    <t>Commercial ABOVE 150AMP(100kVA)</t>
  </si>
  <si>
    <t>Industrial ABOVE 150AMP(100kVA)</t>
  </si>
  <si>
    <t>AGRIC ABOVE 150AMP(100kVA)</t>
  </si>
  <si>
    <t>(43800kWh)&gt;=</t>
  </si>
  <si>
    <t>And Legal Proceedings</t>
  </si>
  <si>
    <t>ANNUAL INCOME</t>
  </si>
  <si>
    <t>TOTAL INCOME</t>
  </si>
  <si>
    <t>ALTERNATIVE ENERGY FEED BACK TARIFF</t>
  </si>
  <si>
    <t xml:space="preserve">All categories for kWh but no Demand(75% * purchase cost - 70.43c) </t>
  </si>
  <si>
    <t xml:space="preserve">Not Approved </t>
  </si>
  <si>
    <t>basic charge 3ph 40Amp</t>
  </si>
  <si>
    <t>basic charge 3ph 80Amp</t>
  </si>
  <si>
    <t>basic charge 3ph 150Amp</t>
  </si>
  <si>
    <t>basic charge 1ph 80Amp</t>
  </si>
  <si>
    <t>DOMESTIC CONVENTIONAL 1ph</t>
  </si>
  <si>
    <t>MAXIMUM DEMAND Commercial ABOVE 150AMP(100kVA)</t>
  </si>
  <si>
    <t>MAXIMUM DEMAND Industrial ABOVE 150AMP(100kVA)</t>
  </si>
  <si>
    <t>MAXIMUM DEMAND AGRIC ABOVE 150AMP(100kVA)</t>
  </si>
  <si>
    <t>COMM / IND CONVENTIIONAL 1P</t>
  </si>
  <si>
    <t>basic charge BULK</t>
  </si>
  <si>
    <t>DOMESTIC CONVENTIONAL 3ph</t>
  </si>
  <si>
    <t>All categories for kWh but no Demand</t>
  </si>
  <si>
    <t>Proposed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</si>
</sst>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#,##0.0000"/>
    <numFmt numFmtId="168" formatCode="&quot;R&quot;\ #,##0.00"/>
    <numFmt numFmtId="169" formatCode="#,##0_ ;\-#,##0\ "/>
    <numFmt numFmtId="170" formatCode="#,##0.00000000000000"/>
    <numFmt numFmtId="171" formatCode="&quot;R&quot;\ #,##0"/>
    <numFmt numFmtId="172" formatCode="_ &quot;R&quot;\ * #,##0_ ;_ &quot;R&quot;\ * \-#,##0_ ;_ &quot;R&quot;\ * &quot;-&quot;_ ;_ @_ "/>
    <numFmt numFmtId="173" formatCode="[$R-1C09]#,##0.00"/>
    <numFmt numFmtId="174" formatCode="&quot;R&quot;\ #,##0.00;&quot;R&quot;\ \-#,##0.00"/>
    <numFmt numFmtId="175" formatCode="[$R-1C09]\ #,##0.00"/>
  </numFmts>
  <fonts count="14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340"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 applyAlignment="1"/>
    <xf numFmtId="0" fontId="9" fillId="0" borderId="0" xfId="0" applyFont="1"/>
    <xf numFmtId="167" fontId="6" fillId="0" borderId="0" xfId="0" applyNumberFormat="1" applyFont="1" applyFill="1"/>
    <xf numFmtId="167" fontId="4" fillId="0" borderId="0" xfId="0" applyNumberFormat="1" applyFont="1" applyFill="1"/>
    <xf numFmtId="2" fontId="4" fillId="0" borderId="0" xfId="0" applyNumberFormat="1" applyFont="1" applyFill="1" applyBorder="1"/>
    <xf numFmtId="2" fontId="6" fillId="0" borderId="0" xfId="0" applyNumberFormat="1" applyFont="1" applyFill="1"/>
    <xf numFmtId="165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67" fontId="0" fillId="0" borderId="0" xfId="0" applyNumberFormat="1"/>
    <xf numFmtId="0" fontId="3" fillId="0" borderId="0" xfId="0" applyFont="1" applyFill="1"/>
    <xf numFmtId="10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6" fillId="0" borderId="11" xfId="0" applyNumberFormat="1" applyFont="1" applyFill="1" applyBorder="1" applyAlignment="1">
      <alignment wrapText="1"/>
    </xf>
    <xf numFmtId="0" fontId="6" fillId="0" borderId="0" xfId="0" applyNumberFormat="1" applyFont="1" applyFill="1" applyAlignment="1">
      <alignment wrapText="1"/>
    </xf>
    <xf numFmtId="1" fontId="5" fillId="0" borderId="5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wrapText="1"/>
    </xf>
    <xf numFmtId="1" fontId="6" fillId="0" borderId="5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0" fontId="5" fillId="0" borderId="0" xfId="0" applyFont="1" applyFill="1"/>
    <xf numFmtId="2" fontId="6" fillId="0" borderId="1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center"/>
    </xf>
    <xf numFmtId="2" fontId="6" fillId="0" borderId="12" xfId="0" applyNumberFormat="1" applyFont="1" applyFill="1" applyBorder="1"/>
    <xf numFmtId="2" fontId="6" fillId="0" borderId="13" xfId="0" applyNumberFormat="1" applyFont="1" applyFill="1" applyBorder="1"/>
    <xf numFmtId="0" fontId="7" fillId="0" borderId="6" xfId="0" applyFont="1" applyFill="1" applyBorder="1"/>
    <xf numFmtId="0" fontId="7" fillId="0" borderId="5" xfId="0" applyFont="1" applyFill="1" applyBorder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27" xfId="0" applyFont="1" applyFill="1" applyBorder="1"/>
    <xf numFmtId="1" fontId="6" fillId="0" borderId="25" xfId="0" applyNumberFormat="1" applyFont="1" applyFill="1" applyBorder="1" applyAlignment="1">
      <alignment horizontal="center"/>
    </xf>
    <xf numFmtId="1" fontId="6" fillId="0" borderId="31" xfId="0" applyNumberFormat="1" applyFont="1" applyFill="1" applyBorder="1" applyAlignment="1">
      <alignment horizontal="center"/>
    </xf>
    <xf numFmtId="2" fontId="6" fillId="0" borderId="25" xfId="0" applyNumberFormat="1" applyFont="1" applyFill="1" applyBorder="1"/>
    <xf numFmtId="0" fontId="6" fillId="0" borderId="28" xfId="0" applyFont="1" applyFill="1" applyBorder="1"/>
    <xf numFmtId="169" fontId="6" fillId="0" borderId="26" xfId="0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0" fontId="0" fillId="0" borderId="2" xfId="0" applyFill="1" applyBorder="1"/>
    <xf numFmtId="0" fontId="7" fillId="0" borderId="28" xfId="0" applyFont="1" applyFill="1" applyBorder="1"/>
    <xf numFmtId="1" fontId="6" fillId="0" borderId="2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right"/>
    </xf>
    <xf numFmtId="0" fontId="4" fillId="0" borderId="2" xfId="0" applyFont="1" applyFill="1" applyBorder="1"/>
    <xf numFmtId="2" fontId="6" fillId="0" borderId="22" xfId="0" applyNumberFormat="1" applyFont="1" applyFill="1" applyBorder="1"/>
    <xf numFmtId="0" fontId="4" fillId="0" borderId="22" xfId="0" applyFont="1" applyFill="1" applyBorder="1"/>
    <xf numFmtId="0" fontId="7" fillId="0" borderId="32" xfId="0" applyFont="1" applyFill="1" applyBorder="1"/>
    <xf numFmtId="0" fontId="0" fillId="0" borderId="22" xfId="0" applyFill="1" applyBorder="1"/>
    <xf numFmtId="1" fontId="6" fillId="0" borderId="29" xfId="0" applyNumberFormat="1" applyFont="1" applyFill="1" applyBorder="1" applyAlignment="1">
      <alignment horizontal="center"/>
    </xf>
    <xf numFmtId="169" fontId="6" fillId="0" borderId="24" xfId="0" applyNumberFormat="1" applyFont="1" applyFill="1" applyBorder="1" applyAlignment="1">
      <alignment horizontal="center"/>
    </xf>
    <xf numFmtId="2" fontId="6" fillId="0" borderId="29" xfId="0" applyNumberFormat="1" applyFont="1" applyFill="1" applyBorder="1"/>
    <xf numFmtId="0" fontId="4" fillId="0" borderId="29" xfId="0" applyFont="1" applyFill="1" applyBorder="1"/>
    <xf numFmtId="168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0" fontId="8" fillId="0" borderId="0" xfId="0" applyFont="1" applyFill="1"/>
    <xf numFmtId="2" fontId="8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ill="1"/>
    <xf numFmtId="0" fontId="10" fillId="0" borderId="0" xfId="0" applyFont="1" applyBorder="1" applyAlignment="1">
      <alignment horizontal="center"/>
    </xf>
    <xf numFmtId="2" fontId="4" fillId="0" borderId="2" xfId="0" applyNumberFormat="1" applyFont="1" applyFill="1" applyBorder="1"/>
    <xf numFmtId="166" fontId="6" fillId="0" borderId="2" xfId="1" applyFont="1" applyFill="1" applyBorder="1"/>
    <xf numFmtId="1" fontId="6" fillId="2" borderId="2" xfId="0" applyNumberFormat="1" applyFont="1" applyFill="1" applyBorder="1" applyAlignment="1">
      <alignment horizontal="center"/>
    </xf>
    <xf numFmtId="169" fontId="6" fillId="2" borderId="26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169" fontId="6" fillId="2" borderId="23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68" fontId="6" fillId="0" borderId="0" xfId="0" applyNumberFormat="1" applyFont="1" applyFill="1" applyBorder="1"/>
    <xf numFmtId="2" fontId="5" fillId="2" borderId="0" xfId="0" applyNumberFormat="1" applyFont="1" applyFill="1" applyBorder="1" applyAlignment="1">
      <alignment horizontal="right"/>
    </xf>
    <xf numFmtId="2" fontId="5" fillId="3" borderId="8" xfId="0" applyNumberFormat="1" applyFont="1" applyFill="1" applyBorder="1"/>
    <xf numFmtId="2" fontId="5" fillId="3" borderId="8" xfId="0" applyNumberFormat="1" applyFont="1" applyFill="1" applyBorder="1" applyAlignment="1">
      <alignment wrapText="1"/>
    </xf>
    <xf numFmtId="2" fontId="5" fillId="3" borderId="17" xfId="0" applyNumberFormat="1" applyFont="1" applyFill="1" applyBorder="1" applyAlignment="1"/>
    <xf numFmtId="0" fontId="5" fillId="3" borderId="6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168" fontId="5" fillId="0" borderId="0" xfId="0" applyNumberFormat="1" applyFont="1" applyFill="1" applyBorder="1"/>
    <xf numFmtId="2" fontId="0" fillId="0" borderId="0" xfId="0" applyNumberFormat="1"/>
    <xf numFmtId="166" fontId="0" fillId="0" borderId="19" xfId="0" applyNumberFormat="1" applyBorder="1"/>
    <xf numFmtId="0" fontId="4" fillId="0" borderId="28" xfId="0" applyFont="1" applyFill="1" applyBorder="1"/>
    <xf numFmtId="169" fontId="6" fillId="0" borderId="23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167" fontId="5" fillId="3" borderId="17" xfId="0" applyNumberFormat="1" applyFont="1" applyFill="1" applyBorder="1" applyAlignment="1">
      <alignment wrapText="1"/>
    </xf>
    <xf numFmtId="0" fontId="5" fillId="0" borderId="21" xfId="0" applyNumberFormat="1" applyFont="1" applyFill="1" applyBorder="1" applyAlignment="1">
      <alignment wrapText="1"/>
    </xf>
    <xf numFmtId="0" fontId="5" fillId="0" borderId="35" xfId="0" applyNumberFormat="1" applyFont="1" applyFill="1" applyBorder="1" applyAlignment="1">
      <alignment wrapText="1"/>
    </xf>
    <xf numFmtId="0" fontId="5" fillId="0" borderId="26" xfId="0" applyNumberFormat="1" applyFont="1" applyFill="1" applyBorder="1" applyAlignment="1">
      <alignment wrapText="1"/>
    </xf>
    <xf numFmtId="0" fontId="5" fillId="0" borderId="34" xfId="0" applyNumberFormat="1" applyFont="1" applyFill="1" applyBorder="1" applyAlignment="1">
      <alignment wrapText="1"/>
    </xf>
    <xf numFmtId="168" fontId="6" fillId="0" borderId="36" xfId="0" applyNumberFormat="1" applyFont="1" applyFill="1" applyBorder="1" applyAlignment="1"/>
    <xf numFmtId="168" fontId="6" fillId="0" borderId="4" xfId="0" applyNumberFormat="1" applyFont="1" applyFill="1" applyBorder="1" applyAlignment="1"/>
    <xf numFmtId="168" fontId="6" fillId="0" borderId="3" xfId="0" applyNumberFormat="1" applyFont="1" applyFill="1" applyBorder="1" applyAlignment="1"/>
    <xf numFmtId="168" fontId="6" fillId="0" borderId="15" xfId="0" applyNumberFormat="1" applyFont="1" applyFill="1" applyBorder="1" applyAlignment="1"/>
    <xf numFmtId="168" fontId="6" fillId="0" borderId="33" xfId="0" applyNumberFormat="1" applyFont="1" applyFill="1" applyBorder="1" applyAlignment="1"/>
    <xf numFmtId="167" fontId="4" fillId="2" borderId="0" xfId="0" applyNumberFormat="1" applyFont="1" applyFill="1"/>
    <xf numFmtId="0" fontId="5" fillId="0" borderId="4" xfId="0" applyNumberFormat="1" applyFont="1" applyFill="1" applyBorder="1" applyAlignment="1">
      <alignment horizontal="center" wrapText="1"/>
    </xf>
    <xf numFmtId="167" fontId="5" fillId="0" borderId="4" xfId="0" applyNumberFormat="1" applyFont="1" applyFill="1" applyBorder="1" applyAlignment="1">
      <alignment wrapText="1"/>
    </xf>
    <xf numFmtId="167" fontId="5" fillId="3" borderId="8" xfId="0" applyNumberFormat="1" applyFont="1" applyFill="1" applyBorder="1" applyAlignment="1">
      <alignment wrapText="1"/>
    </xf>
    <xf numFmtId="2" fontId="4" fillId="5" borderId="0" xfId="0" applyNumberFormat="1" applyFont="1" applyFill="1"/>
    <xf numFmtId="2" fontId="1" fillId="0" borderId="2" xfId="0" applyNumberFormat="1" applyFont="1" applyBorder="1"/>
    <xf numFmtId="167" fontId="4" fillId="4" borderId="0" xfId="0" applyNumberFormat="1" applyFont="1" applyFill="1"/>
    <xf numFmtId="168" fontId="4" fillId="0" borderId="23" xfId="0" applyNumberFormat="1" applyFont="1" applyFill="1" applyBorder="1" applyAlignment="1"/>
    <xf numFmtId="4" fontId="0" fillId="0" borderId="0" xfId="0" applyNumberFormat="1"/>
    <xf numFmtId="1" fontId="4" fillId="2" borderId="2" xfId="0" applyNumberFormat="1" applyFont="1" applyFill="1" applyBorder="1" applyAlignment="1">
      <alignment horizontal="center"/>
    </xf>
    <xf numFmtId="169" fontId="4" fillId="2" borderId="26" xfId="0" applyNumberFormat="1" applyFont="1" applyFill="1" applyBorder="1" applyAlignment="1">
      <alignment horizontal="center"/>
    </xf>
    <xf numFmtId="169" fontId="4" fillId="0" borderId="26" xfId="0" applyNumberFormat="1" applyFont="1" applyFill="1" applyBorder="1" applyAlignment="1">
      <alignment horizontal="center"/>
    </xf>
    <xf numFmtId="0" fontId="5" fillId="0" borderId="28" xfId="0" applyFont="1" applyFill="1" applyBorder="1"/>
    <xf numFmtId="2" fontId="5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4" fillId="0" borderId="0" xfId="0" applyNumberFormat="1" applyFont="1" applyFill="1"/>
    <xf numFmtId="2" fontId="5" fillId="6" borderId="16" xfId="0" applyNumberFormat="1" applyFont="1" applyFill="1" applyBorder="1"/>
    <xf numFmtId="0" fontId="5" fillId="6" borderId="16" xfId="0" applyFont="1" applyFill="1" applyBorder="1" applyAlignment="1">
      <alignment wrapText="1"/>
    </xf>
    <xf numFmtId="0" fontId="5" fillId="6" borderId="16" xfId="0" applyNumberFormat="1" applyFont="1" applyFill="1" applyBorder="1" applyAlignment="1">
      <alignment wrapText="1"/>
    </xf>
    <xf numFmtId="2" fontId="5" fillId="6" borderId="18" xfId="0" applyNumberFormat="1" applyFont="1" applyFill="1" applyBorder="1" applyAlignment="1">
      <alignment wrapText="1"/>
    </xf>
    <xf numFmtId="2" fontId="4" fillId="0" borderId="39" xfId="0" applyNumberFormat="1" applyFont="1" applyFill="1" applyBorder="1"/>
    <xf numFmtId="4" fontId="4" fillId="0" borderId="40" xfId="0" applyNumberFormat="1" applyFont="1" applyBorder="1"/>
    <xf numFmtId="3" fontId="4" fillId="0" borderId="40" xfId="0" applyNumberFormat="1" applyFont="1" applyBorder="1"/>
    <xf numFmtId="4" fontId="4" fillId="0" borderId="40" xfId="0" applyNumberFormat="1" applyFont="1" applyFill="1" applyBorder="1" applyAlignment="1">
      <alignment horizontal="right"/>
    </xf>
    <xf numFmtId="168" fontId="4" fillId="0" borderId="41" xfId="0" applyNumberFormat="1" applyFont="1" applyFill="1" applyBorder="1" applyAlignment="1">
      <alignment horizontal="right"/>
    </xf>
    <xf numFmtId="2" fontId="4" fillId="0" borderId="28" xfId="0" applyNumberFormat="1" applyFont="1" applyFill="1" applyBorder="1"/>
    <xf numFmtId="4" fontId="4" fillId="0" borderId="2" xfId="0" applyNumberFormat="1" applyFont="1" applyBorder="1"/>
    <xf numFmtId="4" fontId="4" fillId="0" borderId="2" xfId="0" applyNumberFormat="1" applyFont="1" applyFill="1" applyBorder="1" applyAlignment="1">
      <alignment horizontal="right"/>
    </xf>
    <xf numFmtId="2" fontId="4" fillId="0" borderId="42" xfId="0" applyNumberFormat="1" applyFont="1" applyFill="1" applyBorder="1"/>
    <xf numFmtId="4" fontId="4" fillId="0" borderId="29" xfId="0" applyNumberFormat="1" applyFont="1" applyBorder="1"/>
    <xf numFmtId="3" fontId="4" fillId="0" borderId="29" xfId="0" applyNumberFormat="1" applyFont="1" applyBorder="1"/>
    <xf numFmtId="4" fontId="4" fillId="0" borderId="29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171" fontId="5" fillId="0" borderId="43" xfId="0" applyNumberFormat="1" applyFont="1" applyFill="1" applyBorder="1" applyAlignment="1">
      <alignment horizontal="right"/>
    </xf>
    <xf numFmtId="171" fontId="5" fillId="0" borderId="19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71" fontId="5" fillId="0" borderId="44" xfId="0" applyNumberFormat="1" applyFont="1" applyFill="1" applyBorder="1"/>
    <xf numFmtId="0" fontId="5" fillId="0" borderId="45" xfId="0" applyNumberFormat="1" applyFont="1" applyFill="1" applyBorder="1"/>
    <xf numFmtId="171" fontId="5" fillId="0" borderId="46" xfId="0" applyNumberFormat="1" applyFont="1" applyFill="1" applyBorder="1"/>
    <xf numFmtId="171" fontId="5" fillId="0" borderId="0" xfId="0" applyNumberFormat="1" applyFont="1" applyFill="1" applyBorder="1"/>
    <xf numFmtId="2" fontId="5" fillId="0" borderId="47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right"/>
    </xf>
    <xf numFmtId="172" fontId="5" fillId="2" borderId="2" xfId="0" applyNumberFormat="1" applyFont="1" applyFill="1" applyBorder="1" applyAlignment="1">
      <alignment horizontal="right"/>
    </xf>
    <xf numFmtId="2" fontId="4" fillId="0" borderId="48" xfId="0" applyNumberFormat="1" applyFont="1" applyFill="1" applyBorder="1" applyAlignment="1">
      <alignment horizontal="right"/>
    </xf>
    <xf numFmtId="1" fontId="4" fillId="0" borderId="18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49" xfId="0" applyNumberFormat="1" applyFont="1" applyFill="1" applyBorder="1" applyAlignment="1">
      <alignment horizontal="right"/>
    </xf>
    <xf numFmtId="2" fontId="5" fillId="0" borderId="2" xfId="0" applyNumberFormat="1" applyFont="1" applyFill="1" applyBorder="1"/>
    <xf numFmtId="14" fontId="4" fillId="0" borderId="2" xfId="0" applyNumberFormat="1" applyFont="1" applyFill="1" applyBorder="1"/>
    <xf numFmtId="0" fontId="5" fillId="0" borderId="2" xfId="0" applyFont="1" applyFill="1" applyBorder="1"/>
    <xf numFmtId="2" fontId="1" fillId="7" borderId="2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/>
    <xf numFmtId="2" fontId="5" fillId="0" borderId="0" xfId="0" applyNumberFormat="1" applyFont="1" applyFill="1" applyBorder="1"/>
    <xf numFmtId="2" fontId="4" fillId="8" borderId="17" xfId="0" applyNumberFormat="1" applyFont="1" applyFill="1" applyBorder="1"/>
    <xf numFmtId="2" fontId="4" fillId="8" borderId="7" xfId="0" applyNumberFormat="1" applyFont="1" applyFill="1" applyBorder="1" applyAlignment="1"/>
    <xf numFmtId="2" fontId="5" fillId="6" borderId="17" xfId="0" applyNumberFormat="1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right"/>
    </xf>
    <xf numFmtId="168" fontId="4" fillId="0" borderId="40" xfId="0" applyNumberFormat="1" applyFont="1" applyFill="1" applyBorder="1"/>
    <xf numFmtId="174" fontId="4" fillId="0" borderId="40" xfId="0" applyNumberFormat="1" applyFont="1" applyBorder="1"/>
    <xf numFmtId="9" fontId="5" fillId="0" borderId="0" xfId="0" applyNumberFormat="1" applyFont="1" applyFill="1"/>
    <xf numFmtId="168" fontId="4" fillId="0" borderId="0" xfId="0" applyNumberFormat="1" applyFont="1" applyFill="1"/>
    <xf numFmtId="2" fontId="4" fillId="0" borderId="28" xfId="0" applyNumberFormat="1" applyFont="1" applyFill="1" applyBorder="1" applyAlignment="1">
      <alignment horizontal="right"/>
    </xf>
    <xf numFmtId="168" fontId="4" fillId="0" borderId="2" xfId="0" applyNumberFormat="1" applyFont="1" applyFill="1" applyBorder="1"/>
    <xf numFmtId="174" fontId="4" fillId="0" borderId="2" xfId="0" applyNumberFormat="1" applyFont="1" applyBorder="1"/>
    <xf numFmtId="2" fontId="4" fillId="0" borderId="42" xfId="0" applyNumberFormat="1" applyFont="1" applyFill="1" applyBorder="1" applyAlignment="1">
      <alignment horizontal="right"/>
    </xf>
    <xf numFmtId="168" fontId="4" fillId="0" borderId="29" xfId="0" applyNumberFormat="1" applyFont="1" applyFill="1" applyBorder="1"/>
    <xf numFmtId="174" fontId="4" fillId="0" borderId="29" xfId="0" applyNumberFormat="1" applyFont="1" applyBorder="1"/>
    <xf numFmtId="2" fontId="5" fillId="2" borderId="0" xfId="0" applyNumberFormat="1" applyFont="1" applyFill="1" applyAlignment="1">
      <alignment horizontal="right"/>
    </xf>
    <xf numFmtId="2" fontId="5" fillId="2" borderId="51" xfId="0" applyNumberFormat="1" applyFont="1" applyFill="1" applyBorder="1" applyAlignment="1">
      <alignment horizontal="right"/>
    </xf>
    <xf numFmtId="171" fontId="5" fillId="0" borderId="16" xfId="0" applyNumberFormat="1" applyFont="1" applyFill="1" applyBorder="1" applyAlignment="1">
      <alignment horizontal="right"/>
    </xf>
    <xf numFmtId="0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4" fontId="5" fillId="2" borderId="52" xfId="0" applyNumberFormat="1" applyFont="1" applyFill="1" applyBorder="1" applyAlignment="1">
      <alignment horizontal="right"/>
    </xf>
    <xf numFmtId="172" fontId="5" fillId="2" borderId="29" xfId="0" applyNumberFormat="1" applyFont="1" applyFill="1" applyBorder="1" applyAlignment="1">
      <alignment horizontal="right"/>
    </xf>
    <xf numFmtId="164" fontId="5" fillId="2" borderId="53" xfId="0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0" fontId="4" fillId="0" borderId="4" xfId="0" applyFont="1" applyFill="1" applyBorder="1"/>
    <xf numFmtId="2" fontId="4" fillId="0" borderId="0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/>
    </xf>
    <xf numFmtId="0" fontId="5" fillId="0" borderId="37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4" fillId="0" borderId="4" xfId="0" applyNumberFormat="1" applyFont="1" applyFill="1" applyBorder="1"/>
    <xf numFmtId="4" fontId="4" fillId="0" borderId="0" xfId="0" applyNumberFormat="1" applyFont="1" applyFill="1" applyBorder="1"/>
    <xf numFmtId="0" fontId="13" fillId="0" borderId="0" xfId="0" applyFont="1"/>
    <xf numFmtId="0" fontId="13" fillId="0" borderId="0" xfId="0" applyFont="1" applyFill="1"/>
    <xf numFmtId="173" fontId="5" fillId="0" borderId="2" xfId="0" applyNumberFormat="1" applyFont="1" applyFill="1" applyBorder="1"/>
    <xf numFmtId="175" fontId="5" fillId="0" borderId="2" xfId="0" applyNumberFormat="1" applyFont="1" applyFill="1" applyBorder="1"/>
    <xf numFmtId="0" fontId="5" fillId="0" borderId="2" xfId="0" applyNumberFormat="1" applyFont="1" applyFill="1" applyBorder="1"/>
    <xf numFmtId="14" fontId="4" fillId="0" borderId="0" xfId="0" applyNumberFormat="1" applyFont="1" applyFill="1" applyBorder="1"/>
    <xf numFmtId="2" fontId="5" fillId="0" borderId="25" xfId="0" applyNumberFormat="1" applyFont="1" applyFill="1" applyBorder="1"/>
    <xf numFmtId="2" fontId="4" fillId="0" borderId="25" xfId="0" applyNumberFormat="1" applyFont="1" applyFill="1" applyBorder="1"/>
    <xf numFmtId="2" fontId="4" fillId="0" borderId="6" xfId="0" applyNumberFormat="1" applyFont="1" applyFill="1" applyBorder="1"/>
    <xf numFmtId="2" fontId="5" fillId="6" borderId="16" xfId="0" applyNumberFormat="1" applyFont="1" applyFill="1" applyBorder="1" applyAlignment="1">
      <alignment wrapText="1"/>
    </xf>
    <xf numFmtId="2" fontId="5" fillId="6" borderId="16" xfId="0" applyNumberFormat="1" applyFont="1" applyFill="1" applyBorder="1" applyAlignment="1">
      <alignment horizontal="center" vertical="center" wrapText="1"/>
    </xf>
    <xf numFmtId="2" fontId="4" fillId="0" borderId="54" xfId="0" applyNumberFormat="1" applyFont="1" applyFill="1" applyBorder="1"/>
    <xf numFmtId="0" fontId="5" fillId="2" borderId="16" xfId="0" applyFont="1" applyFill="1" applyBorder="1" applyAlignment="1">
      <alignment horizontal="center" wrapText="1"/>
    </xf>
    <xf numFmtId="0" fontId="9" fillId="0" borderId="16" xfId="0" applyFont="1" applyBorder="1"/>
    <xf numFmtId="168" fontId="6" fillId="0" borderId="22" xfId="0" applyNumberFormat="1" applyFont="1" applyFill="1" applyBorder="1" applyAlignment="1">
      <alignment horizontal="right"/>
    </xf>
    <xf numFmtId="170" fontId="0" fillId="0" borderId="22" xfId="0" applyNumberFormat="1" applyBorder="1"/>
    <xf numFmtId="168" fontId="6" fillId="0" borderId="1" xfId="0" applyNumberFormat="1" applyFont="1" applyFill="1" applyBorder="1" applyAlignment="1">
      <alignment horizontal="right"/>
    </xf>
    <xf numFmtId="0" fontId="0" fillId="0" borderId="1" xfId="0" applyBorder="1"/>
    <xf numFmtId="168" fontId="6" fillId="0" borderId="25" xfId="0" applyNumberFormat="1" applyFont="1" applyFill="1" applyBorder="1" applyAlignment="1">
      <alignment horizontal="right"/>
    </xf>
    <xf numFmtId="0" fontId="0" fillId="0" borderId="25" xfId="0" applyBorder="1"/>
    <xf numFmtId="0" fontId="0" fillId="0" borderId="55" xfId="0" applyBorder="1"/>
    <xf numFmtId="0" fontId="0" fillId="0" borderId="56" xfId="0" applyBorder="1"/>
    <xf numFmtId="4" fontId="9" fillId="0" borderId="1" xfId="0" applyNumberFormat="1" applyFont="1" applyBorder="1"/>
    <xf numFmtId="168" fontId="9" fillId="0" borderId="1" xfId="0" applyNumberFormat="1" applyFont="1" applyBorder="1"/>
    <xf numFmtId="168" fontId="9" fillId="0" borderId="25" xfId="0" applyNumberFormat="1" applyFont="1" applyBorder="1"/>
    <xf numFmtId="3" fontId="5" fillId="3" borderId="30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" fillId="0" borderId="2" xfId="0" applyFont="1" applyBorder="1"/>
    <xf numFmtId="2" fontId="1" fillId="0" borderId="29" xfId="0" applyNumberFormat="1" applyFont="1" applyBorder="1"/>
    <xf numFmtId="0" fontId="1" fillId="0" borderId="29" xfId="0" applyFont="1" applyBorder="1"/>
    <xf numFmtId="166" fontId="5" fillId="0" borderId="7" xfId="1" applyFont="1" applyFill="1" applyBorder="1" applyAlignment="1">
      <alignment horizontal="right"/>
    </xf>
    <xf numFmtId="165" fontId="5" fillId="6" borderId="16" xfId="0" applyNumberFormat="1" applyFont="1" applyFill="1" applyBorder="1" applyAlignment="1">
      <alignment horizontal="right"/>
    </xf>
    <xf numFmtId="0" fontId="5" fillId="6" borderId="16" xfId="0" applyNumberFormat="1" applyFont="1" applyFill="1" applyBorder="1" applyAlignment="1"/>
    <xf numFmtId="165" fontId="5" fillId="6" borderId="30" xfId="0" applyNumberFormat="1" applyFont="1" applyFill="1" applyBorder="1" applyAlignment="1">
      <alignment horizontal="right" wrapText="1"/>
    </xf>
    <xf numFmtId="2" fontId="5" fillId="3" borderId="11" xfId="0" applyNumberFormat="1" applyFont="1" applyFill="1" applyBorder="1" applyAlignment="1">
      <alignment wrapText="1"/>
    </xf>
    <xf numFmtId="2" fontId="5" fillId="3" borderId="47" xfId="0" applyNumberFormat="1" applyFont="1" applyFill="1" applyBorder="1" applyAlignment="1"/>
    <xf numFmtId="2" fontId="5" fillId="3" borderId="11" xfId="0" applyNumberFormat="1" applyFont="1" applyFill="1" applyBorder="1"/>
    <xf numFmtId="2" fontId="5" fillId="3" borderId="11" xfId="0" applyNumberFormat="1" applyFont="1" applyFill="1" applyBorder="1" applyAlignment="1">
      <alignment horizontal="center" wrapText="1"/>
    </xf>
    <xf numFmtId="0" fontId="7" fillId="3" borderId="9" xfId="0" applyFont="1" applyFill="1" applyBorder="1"/>
    <xf numFmtId="0" fontId="6" fillId="10" borderId="39" xfId="0" applyFont="1" applyFill="1" applyBorder="1"/>
    <xf numFmtId="1" fontId="6" fillId="10" borderId="40" xfId="0" applyNumberFormat="1" applyFont="1" applyFill="1" applyBorder="1" applyAlignment="1">
      <alignment horizontal="center"/>
    </xf>
    <xf numFmtId="2" fontId="6" fillId="10" borderId="40" xfId="0" applyNumberFormat="1" applyFont="1" applyFill="1" applyBorder="1"/>
    <xf numFmtId="2" fontId="1" fillId="10" borderId="41" xfId="0" applyNumberFormat="1" applyFont="1" applyFill="1" applyBorder="1"/>
    <xf numFmtId="0" fontId="6" fillId="10" borderId="28" xfId="0" applyFont="1" applyFill="1" applyBorder="1"/>
    <xf numFmtId="1" fontId="6" fillId="10" borderId="2" xfId="0" applyNumberFormat="1" applyFont="1" applyFill="1" applyBorder="1" applyAlignment="1">
      <alignment horizontal="center"/>
    </xf>
    <xf numFmtId="169" fontId="6" fillId="10" borderId="2" xfId="0" applyNumberFormat="1" applyFont="1" applyFill="1" applyBorder="1" applyAlignment="1">
      <alignment horizontal="center"/>
    </xf>
    <xf numFmtId="2" fontId="6" fillId="10" borderId="2" xfId="0" applyNumberFormat="1" applyFont="1" applyFill="1" applyBorder="1"/>
    <xf numFmtId="2" fontId="1" fillId="10" borderId="52" xfId="0" applyNumberFormat="1" applyFont="1" applyFill="1" applyBorder="1"/>
    <xf numFmtId="2" fontId="4" fillId="10" borderId="2" xfId="0" applyNumberFormat="1" applyFont="1" applyFill="1" applyBorder="1"/>
    <xf numFmtId="0" fontId="6" fillId="10" borderId="42" xfId="0" applyFont="1" applyFill="1" applyBorder="1"/>
    <xf numFmtId="1" fontId="6" fillId="10" borderId="29" xfId="0" applyNumberFormat="1" applyFont="1" applyFill="1" applyBorder="1" applyAlignment="1">
      <alignment horizontal="center"/>
    </xf>
    <xf numFmtId="169" fontId="6" fillId="10" borderId="29" xfId="0" applyNumberFormat="1" applyFont="1" applyFill="1" applyBorder="1" applyAlignment="1">
      <alignment horizontal="center"/>
    </xf>
    <xf numFmtId="2" fontId="4" fillId="10" borderId="29" xfId="0" applyNumberFormat="1" applyFont="1" applyFill="1" applyBorder="1"/>
    <xf numFmtId="2" fontId="1" fillId="10" borderId="53" xfId="0" applyNumberFormat="1" applyFont="1" applyFill="1" applyBorder="1"/>
    <xf numFmtId="0" fontId="0" fillId="11" borderId="0" xfId="0" applyFill="1"/>
    <xf numFmtId="0" fontId="6" fillId="9" borderId="13" xfId="0" applyFont="1" applyFill="1" applyBorder="1"/>
    <xf numFmtId="1" fontId="6" fillId="9" borderId="13" xfId="0" applyNumberFormat="1" applyFont="1" applyFill="1" applyBorder="1" applyAlignment="1">
      <alignment horizontal="center"/>
    </xf>
    <xf numFmtId="169" fontId="6" fillId="9" borderId="13" xfId="0" applyNumberFormat="1" applyFont="1" applyFill="1" applyBorder="1" applyAlignment="1">
      <alignment horizontal="center"/>
    </xf>
    <xf numFmtId="2" fontId="6" fillId="9" borderId="13" xfId="0" applyNumberFormat="1" applyFont="1" applyFill="1" applyBorder="1"/>
    <xf numFmtId="2" fontId="1" fillId="9" borderId="13" xfId="0" applyNumberFormat="1" applyFont="1" applyFill="1" applyBorder="1"/>
    <xf numFmtId="0" fontId="6" fillId="9" borderId="7" xfId="0" applyFont="1" applyFill="1" applyBorder="1"/>
    <xf numFmtId="1" fontId="6" fillId="9" borderId="7" xfId="0" applyNumberFormat="1" applyFont="1" applyFill="1" applyBorder="1" applyAlignment="1">
      <alignment horizontal="center"/>
    </xf>
    <xf numFmtId="169" fontId="6" fillId="9" borderId="7" xfId="0" applyNumberFormat="1" applyFont="1" applyFill="1" applyBorder="1" applyAlignment="1">
      <alignment horizontal="center"/>
    </xf>
    <xf numFmtId="2" fontId="4" fillId="9" borderId="7" xfId="0" applyNumberFormat="1" applyFont="1" applyFill="1" applyBorder="1"/>
    <xf numFmtId="2" fontId="1" fillId="9" borderId="7" xfId="0" applyNumberFormat="1" applyFont="1" applyFill="1" applyBorder="1"/>
    <xf numFmtId="0" fontId="4" fillId="9" borderId="32" xfId="0" applyFont="1" applyFill="1" applyBorder="1"/>
    <xf numFmtId="1" fontId="4" fillId="9" borderId="22" xfId="0" applyNumberFormat="1" applyFont="1" applyFill="1" applyBorder="1" applyAlignment="1">
      <alignment horizontal="center"/>
    </xf>
    <xf numFmtId="169" fontId="4" fillId="9" borderId="23" xfId="0" applyNumberFormat="1" applyFont="1" applyFill="1" applyBorder="1" applyAlignment="1">
      <alignment horizontal="center"/>
    </xf>
    <xf numFmtId="2" fontId="6" fillId="9" borderId="22" xfId="0" applyNumberFormat="1" applyFont="1" applyFill="1" applyBorder="1"/>
    <xf numFmtId="2" fontId="1" fillId="9" borderId="23" xfId="0" applyNumberFormat="1" applyFont="1" applyFill="1" applyBorder="1"/>
    <xf numFmtId="0" fontId="4" fillId="9" borderId="7" xfId="0" applyFont="1" applyFill="1" applyBorder="1"/>
    <xf numFmtId="1" fontId="4" fillId="9" borderId="7" xfId="0" applyNumberFormat="1" applyFont="1" applyFill="1" applyBorder="1" applyAlignment="1">
      <alignment horizontal="center"/>
    </xf>
    <xf numFmtId="169" fontId="4" fillId="9" borderId="7" xfId="0" applyNumberFormat="1" applyFont="1" applyFill="1" applyBorder="1" applyAlignment="1">
      <alignment horizontal="center"/>
    </xf>
    <xf numFmtId="2" fontId="6" fillId="9" borderId="7" xfId="0" applyNumberFormat="1" applyFont="1" applyFill="1" applyBorder="1"/>
    <xf numFmtId="166" fontId="6" fillId="9" borderId="7" xfId="1" applyFont="1" applyFill="1" applyBorder="1"/>
    <xf numFmtId="0" fontId="7" fillId="9" borderId="47" xfId="0" applyFont="1" applyFill="1" applyBorder="1"/>
    <xf numFmtId="2" fontId="5" fillId="9" borderId="10" xfId="0" applyNumberFormat="1" applyFont="1" applyFill="1" applyBorder="1" applyAlignment="1">
      <alignment wrapText="1"/>
    </xf>
    <xf numFmtId="2" fontId="5" fillId="9" borderId="10" xfId="0" applyNumberFormat="1" applyFont="1" applyFill="1" applyBorder="1" applyAlignment="1"/>
    <xf numFmtId="2" fontId="5" fillId="9" borderId="10" xfId="0" applyNumberFormat="1" applyFont="1" applyFill="1" applyBorder="1"/>
    <xf numFmtId="2" fontId="5" fillId="9" borderId="10" xfId="0" applyNumberFormat="1" applyFont="1" applyFill="1" applyBorder="1" applyAlignment="1">
      <alignment horizontal="center" wrapText="1"/>
    </xf>
    <xf numFmtId="0" fontId="0" fillId="9" borderId="13" xfId="0" applyFill="1" applyBorder="1"/>
    <xf numFmtId="0" fontId="4" fillId="10" borderId="27" xfId="0" applyFont="1" applyFill="1" applyBorder="1"/>
    <xf numFmtId="1" fontId="6" fillId="10" borderId="14" xfId="0" applyNumberFormat="1" applyFont="1" applyFill="1" applyBorder="1" applyAlignment="1">
      <alignment horizontal="center"/>
    </xf>
    <xf numFmtId="169" fontId="6" fillId="10" borderId="15" xfId="0" applyNumberFormat="1" applyFont="1" applyFill="1" applyBorder="1" applyAlignment="1">
      <alignment horizontal="center"/>
    </xf>
    <xf numFmtId="2" fontId="6" fillId="10" borderId="14" xfId="0" applyNumberFormat="1" applyFont="1" applyFill="1" applyBorder="1"/>
    <xf numFmtId="2" fontId="1" fillId="10" borderId="14" xfId="0" applyNumberFormat="1" applyFont="1" applyFill="1" applyBorder="1"/>
    <xf numFmtId="0" fontId="4" fillId="10" borderId="28" xfId="0" applyFont="1" applyFill="1" applyBorder="1"/>
    <xf numFmtId="169" fontId="6" fillId="10" borderId="24" xfId="0" applyNumberFormat="1" applyFont="1" applyFill="1" applyBorder="1" applyAlignment="1">
      <alignment horizontal="center"/>
    </xf>
    <xf numFmtId="2" fontId="6" fillId="10" borderId="29" xfId="0" applyNumberFormat="1" applyFont="1" applyFill="1" applyBorder="1"/>
    <xf numFmtId="2" fontId="1" fillId="10" borderId="29" xfId="0" applyNumberFormat="1" applyFont="1" applyFill="1" applyBorder="1"/>
    <xf numFmtId="0" fontId="4" fillId="10" borderId="42" xfId="0" applyFont="1" applyFill="1" applyBorder="1"/>
    <xf numFmtId="1" fontId="4" fillId="10" borderId="29" xfId="0" applyNumberFormat="1" applyFont="1" applyFill="1" applyBorder="1" applyAlignment="1">
      <alignment horizontal="center"/>
    </xf>
    <xf numFmtId="169" fontId="4" fillId="10" borderId="24" xfId="0" applyNumberFormat="1" applyFont="1" applyFill="1" applyBorder="1" applyAlignment="1">
      <alignment horizontal="center"/>
    </xf>
    <xf numFmtId="1" fontId="4" fillId="10" borderId="2" xfId="0" applyNumberFormat="1" applyFont="1" applyFill="1" applyBorder="1" applyAlignment="1">
      <alignment horizontal="center"/>
    </xf>
    <xf numFmtId="169" fontId="4" fillId="10" borderId="2" xfId="0" applyNumberFormat="1" applyFont="1" applyFill="1" applyBorder="1" applyAlignment="1">
      <alignment horizontal="center"/>
    </xf>
    <xf numFmtId="169" fontId="4" fillId="10" borderId="29" xfId="0" applyNumberFormat="1" applyFont="1" applyFill="1" applyBorder="1" applyAlignment="1">
      <alignment horizontal="center"/>
    </xf>
    <xf numFmtId="1" fontId="4" fillId="10" borderId="25" xfId="0" applyNumberFormat="1" applyFont="1" applyFill="1" applyBorder="1" applyAlignment="1">
      <alignment horizontal="center"/>
    </xf>
    <xf numFmtId="169" fontId="4" fillId="10" borderId="31" xfId="0" applyNumberFormat="1" applyFont="1" applyFill="1" applyBorder="1" applyAlignment="1">
      <alignment horizontal="center"/>
    </xf>
    <xf numFmtId="2" fontId="6" fillId="10" borderId="25" xfId="0" applyNumberFormat="1" applyFont="1" applyFill="1" applyBorder="1"/>
    <xf numFmtId="2" fontId="1" fillId="10" borderId="25" xfId="0" applyNumberFormat="1" applyFont="1" applyFill="1" applyBorder="1"/>
    <xf numFmtId="1" fontId="4" fillId="10" borderId="14" xfId="0" applyNumberFormat="1" applyFont="1" applyFill="1" applyBorder="1" applyAlignment="1">
      <alignment horizontal="center"/>
    </xf>
    <xf numFmtId="169" fontId="4" fillId="10" borderId="15" xfId="0" applyNumberFormat="1" applyFont="1" applyFill="1" applyBorder="1" applyAlignment="1">
      <alignment horizontal="center"/>
    </xf>
    <xf numFmtId="2" fontId="1" fillId="10" borderId="57" xfId="0" applyNumberFormat="1" applyFont="1" applyFill="1" applyBorder="1"/>
    <xf numFmtId="0" fontId="6" fillId="10" borderId="27" xfId="0" applyFont="1" applyFill="1" applyBorder="1"/>
    <xf numFmtId="1" fontId="6" fillId="10" borderId="25" xfId="0" applyNumberFormat="1" applyFont="1" applyFill="1" applyBorder="1" applyAlignment="1">
      <alignment horizontal="center"/>
    </xf>
    <xf numFmtId="169" fontId="6" fillId="10" borderId="31" xfId="0" applyNumberFormat="1" applyFont="1" applyFill="1" applyBorder="1" applyAlignment="1">
      <alignment horizontal="center"/>
    </xf>
    <xf numFmtId="2" fontId="1" fillId="10" borderId="59" xfId="0" applyNumberFormat="1" applyFont="1" applyFill="1" applyBorder="1"/>
    <xf numFmtId="169" fontId="6" fillId="10" borderId="26" xfId="0" applyNumberFormat="1" applyFont="1" applyFill="1" applyBorder="1" applyAlignment="1">
      <alignment horizontal="center"/>
    </xf>
    <xf numFmtId="0" fontId="4" fillId="10" borderId="32" xfId="0" applyFont="1" applyFill="1" applyBorder="1"/>
    <xf numFmtId="1" fontId="6" fillId="10" borderId="22" xfId="0" applyNumberFormat="1" applyFont="1" applyFill="1" applyBorder="1" applyAlignment="1">
      <alignment horizontal="center"/>
    </xf>
    <xf numFmtId="169" fontId="6" fillId="10" borderId="23" xfId="0" applyNumberFormat="1" applyFont="1" applyFill="1" applyBorder="1" applyAlignment="1">
      <alignment horizontal="center"/>
    </xf>
    <xf numFmtId="2" fontId="6" fillId="10" borderId="22" xfId="0" applyNumberFormat="1" applyFont="1" applyFill="1" applyBorder="1"/>
    <xf numFmtId="2" fontId="1" fillId="10" borderId="60" xfId="0" applyNumberFormat="1" applyFont="1" applyFill="1" applyBorder="1"/>
    <xf numFmtId="166" fontId="6" fillId="10" borderId="14" xfId="1" applyFont="1" applyFill="1" applyBorder="1"/>
    <xf numFmtId="1" fontId="6" fillId="10" borderId="31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1" borderId="0" xfId="0" applyFont="1" applyFill="1" applyBorder="1"/>
    <xf numFmtId="1" fontId="4" fillId="11" borderId="0" xfId="0" applyNumberFormat="1" applyFont="1" applyFill="1" applyBorder="1" applyAlignment="1">
      <alignment horizontal="center"/>
    </xf>
    <xf numFmtId="169" fontId="4" fillId="11" borderId="0" xfId="0" applyNumberFormat="1" applyFont="1" applyFill="1" applyBorder="1" applyAlignment="1">
      <alignment horizontal="center"/>
    </xf>
    <xf numFmtId="2" fontId="6" fillId="11" borderId="0" xfId="0" applyNumberFormat="1" applyFont="1" applyFill="1" applyBorder="1"/>
    <xf numFmtId="2" fontId="1" fillId="11" borderId="0" xfId="0" applyNumberFormat="1" applyFont="1" applyFill="1" applyBorder="1"/>
    <xf numFmtId="165" fontId="6" fillId="11" borderId="0" xfId="0" applyNumberFormat="1" applyFont="1" applyFill="1" applyBorder="1" applyAlignment="1">
      <alignment horizontal="right"/>
    </xf>
    <xf numFmtId="165" fontId="6" fillId="10" borderId="13" xfId="0" applyNumberFormat="1" applyFont="1" applyFill="1" applyBorder="1" applyAlignment="1">
      <alignment horizontal="right"/>
    </xf>
    <xf numFmtId="165" fontId="5" fillId="6" borderId="20" xfId="0" applyNumberFormat="1" applyFont="1" applyFill="1" applyBorder="1" applyAlignment="1">
      <alignment horizontal="right"/>
    </xf>
    <xf numFmtId="165" fontId="5" fillId="6" borderId="61" xfId="0" applyNumberFormat="1" applyFont="1" applyFill="1" applyBorder="1" applyAlignment="1">
      <alignment horizontal="right" wrapText="1"/>
    </xf>
    <xf numFmtId="165" fontId="5" fillId="6" borderId="20" xfId="0" applyNumberFormat="1" applyFont="1" applyFill="1" applyBorder="1" applyAlignment="1">
      <alignment horizontal="right" wrapText="1"/>
    </xf>
    <xf numFmtId="0" fontId="6" fillId="10" borderId="58" xfId="0" applyNumberFormat="1" applyFont="1" applyFill="1" applyBorder="1" applyAlignment="1">
      <alignment horizontal="center"/>
    </xf>
    <xf numFmtId="0" fontId="6" fillId="10" borderId="13" xfId="0" applyNumberFormat="1" applyFont="1" applyFill="1" applyBorder="1" applyAlignment="1">
      <alignment horizontal="center"/>
    </xf>
    <xf numFmtId="167" fontId="5" fillId="3" borderId="16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left" wrapText="1"/>
    </xf>
    <xf numFmtId="0" fontId="10" fillId="3" borderId="0" xfId="0" applyFont="1" applyFill="1" applyBorder="1" applyAlignment="1">
      <alignment horizontal="center"/>
    </xf>
    <xf numFmtId="2" fontId="5" fillId="8" borderId="50" xfId="0" applyNumberFormat="1" applyFont="1" applyFill="1" applyBorder="1" applyAlignment="1">
      <alignment horizontal="center"/>
    </xf>
    <xf numFmtId="2" fontId="5" fillId="8" borderId="30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1156606</xdr:colOff>
      <xdr:row>2</xdr:row>
      <xdr:rowOff>122623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606" cy="488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ahubane.EMOGALELM\AppData\Local\Microsoft\Windows\INetCache\Content.Outlook\U2ELDCB0\DRAFT%20Electricity%20Tariff%202019-202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2020"/>
      <sheetName val="Sheet1"/>
    </sheetNames>
    <sheetDataSet>
      <sheetData sheetId="0">
        <row r="9">
          <cell r="M9">
            <v>167.67177447213598</v>
          </cell>
        </row>
        <row r="47">
          <cell r="M47">
            <v>0.9</v>
          </cell>
        </row>
        <row r="48">
          <cell r="M48">
            <v>1.18</v>
          </cell>
        </row>
        <row r="49">
          <cell r="M49">
            <v>1.47</v>
          </cell>
        </row>
        <row r="50">
          <cell r="M50">
            <v>1.76</v>
          </cell>
        </row>
        <row r="54">
          <cell r="M54">
            <v>0.93540000000000001</v>
          </cell>
        </row>
        <row r="55">
          <cell r="M55">
            <v>1.1756</v>
          </cell>
        </row>
        <row r="56">
          <cell r="M56">
            <v>1.5278119999999999</v>
          </cell>
        </row>
        <row r="57">
          <cell r="M57">
            <v>1.8483320000000001</v>
          </cell>
        </row>
        <row r="60">
          <cell r="M60">
            <v>0.95087600000000005</v>
          </cell>
        </row>
        <row r="61">
          <cell r="M61">
            <v>1.2179759999999999</v>
          </cell>
        </row>
        <row r="62">
          <cell r="M62">
            <v>1.634652</v>
          </cell>
        </row>
        <row r="63">
          <cell r="M63">
            <v>1.944488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27"/>
  <sheetViews>
    <sheetView tabSelected="1" topLeftCell="A118" zoomScaleNormal="100" workbookViewId="0">
      <selection activeCell="H134" sqref="H134"/>
    </sheetView>
  </sheetViews>
  <sheetFormatPr defaultRowHeight="12.75" x14ac:dyDescent="0.2"/>
  <cols>
    <col min="1" max="1" width="41" style="13" customWidth="1"/>
    <col min="2" max="2" width="13" style="13" bestFit="1" customWidth="1"/>
    <col min="3" max="3" width="17.85546875" style="13" bestFit="1" customWidth="1"/>
    <col min="4" max="4" width="17.85546875" style="13" customWidth="1"/>
    <col min="5" max="5" width="11.5703125" style="13" bestFit="1" customWidth="1"/>
    <col min="6" max="6" width="12.28515625" style="13" customWidth="1"/>
    <col min="7" max="7" width="16.140625" style="13" customWidth="1"/>
    <col min="8" max="8" width="15.7109375" style="13" customWidth="1"/>
    <col min="9" max="9" width="19.5703125" style="13" customWidth="1"/>
    <col min="10" max="10" width="14.7109375" style="68" bestFit="1" customWidth="1"/>
    <col min="11" max="11" width="14" style="13" customWidth="1"/>
    <col min="12" max="12" width="12" bestFit="1" customWidth="1"/>
    <col min="13" max="13" width="17.42578125" bestFit="1" customWidth="1"/>
    <col min="14" max="14" width="16.85546875" bestFit="1" customWidth="1"/>
    <col min="15" max="15" width="12.7109375" bestFit="1" customWidth="1"/>
    <col min="16" max="16" width="15" bestFit="1" customWidth="1"/>
  </cols>
  <sheetData>
    <row r="1" spans="1:11" ht="15.75" x14ac:dyDescent="0.25">
      <c r="A1" s="17"/>
      <c r="B1" s="328" t="s">
        <v>47</v>
      </c>
      <c r="C1" s="328"/>
      <c r="D1" s="328"/>
      <c r="E1" s="328"/>
      <c r="F1" s="328"/>
      <c r="G1" s="328"/>
      <c r="H1" s="69"/>
      <c r="I1" s="69"/>
      <c r="J1" s="63"/>
      <c r="K1" s="15"/>
    </row>
    <row r="2" spans="1:11" ht="12.75" customHeight="1" x14ac:dyDescent="0.2">
      <c r="A2" s="18"/>
      <c r="B2" s="328" t="s">
        <v>53</v>
      </c>
      <c r="C2" s="328"/>
      <c r="D2" s="328"/>
      <c r="E2" s="328"/>
      <c r="F2" s="328"/>
      <c r="G2" s="328"/>
      <c r="H2" s="6"/>
      <c r="I2" s="6"/>
      <c r="J2" s="64"/>
      <c r="K2" s="12"/>
    </row>
    <row r="3" spans="1:11" ht="12.75" customHeight="1" x14ac:dyDescent="0.2">
      <c r="A3" s="18"/>
      <c r="B3" s="328"/>
      <c r="C3" s="328"/>
      <c r="D3" s="328"/>
      <c r="E3" s="328"/>
      <c r="F3" s="328"/>
      <c r="G3" s="328"/>
      <c r="H3" s="6"/>
      <c r="I3" s="6"/>
      <c r="J3" s="64"/>
      <c r="K3" s="12"/>
    </row>
    <row r="4" spans="1:11" ht="12.75" customHeight="1" x14ac:dyDescent="0.2">
      <c r="A4" s="18"/>
      <c r="B4" s="328"/>
      <c r="C4" s="328"/>
      <c r="D4" s="328"/>
      <c r="E4" s="328"/>
      <c r="F4" s="328"/>
      <c r="G4" s="328"/>
      <c r="H4" s="6"/>
      <c r="I4" s="6"/>
      <c r="J4" s="64"/>
      <c r="K4" s="12"/>
    </row>
    <row r="5" spans="1:11" ht="13.5" thickBot="1" x14ac:dyDescent="0.25">
      <c r="A5" s="18" t="s">
        <v>0</v>
      </c>
      <c r="B5" s="18"/>
      <c r="C5" s="12"/>
      <c r="D5" s="12"/>
      <c r="E5" s="12"/>
      <c r="F5" s="112" t="s">
        <v>56</v>
      </c>
      <c r="G5" s="106"/>
      <c r="H5" s="7"/>
      <c r="I5" s="7"/>
      <c r="J5" s="65"/>
      <c r="K5" s="12"/>
    </row>
    <row r="6" spans="1:11" ht="23.25" thickBot="1" x14ac:dyDescent="0.25">
      <c r="A6" s="19" t="s">
        <v>1</v>
      </c>
      <c r="B6" s="85" t="s">
        <v>2</v>
      </c>
      <c r="C6" s="86" t="s">
        <v>20</v>
      </c>
      <c r="D6" s="87" t="s">
        <v>3</v>
      </c>
      <c r="E6" s="96" t="s">
        <v>51</v>
      </c>
      <c r="F6" s="326" t="s">
        <v>52</v>
      </c>
      <c r="G6" s="210" t="s">
        <v>90</v>
      </c>
      <c r="H6" s="211" t="s">
        <v>91</v>
      </c>
      <c r="I6"/>
      <c r="J6"/>
      <c r="K6"/>
    </row>
    <row r="7" spans="1:11" ht="12.75" customHeight="1" x14ac:dyDescent="0.2">
      <c r="A7" s="19"/>
      <c r="B7" s="20"/>
      <c r="C7" s="21"/>
      <c r="D7" s="22"/>
      <c r="E7" s="97" t="s">
        <v>0</v>
      </c>
      <c r="F7" s="98" t="s">
        <v>0</v>
      </c>
      <c r="G7" s="107"/>
      <c r="H7" s="218"/>
      <c r="I7"/>
      <c r="J7"/>
      <c r="K7"/>
    </row>
    <row r="8" spans="1:11" x14ac:dyDescent="0.2">
      <c r="A8" s="23"/>
      <c r="B8" s="24"/>
      <c r="C8" s="25"/>
      <c r="D8" s="76"/>
      <c r="E8" s="99" t="s">
        <v>4</v>
      </c>
      <c r="F8" s="100" t="s">
        <v>5</v>
      </c>
      <c r="G8" s="108"/>
      <c r="H8" s="219"/>
      <c r="I8"/>
      <c r="J8"/>
      <c r="K8"/>
    </row>
    <row r="9" spans="1:11" x14ac:dyDescent="0.2">
      <c r="A9" s="19" t="s">
        <v>6</v>
      </c>
      <c r="B9" s="26">
        <v>1</v>
      </c>
      <c r="C9" s="27">
        <v>80</v>
      </c>
      <c r="D9" s="77">
        <v>346</v>
      </c>
      <c r="E9" s="113">
        <v>167.67177447213598</v>
      </c>
      <c r="F9" s="101">
        <f>E9*113.07/100</f>
        <v>189.58647539564416</v>
      </c>
      <c r="G9" s="212">
        <f>F9*D9*12</f>
        <v>787163.04584271461</v>
      </c>
      <c r="H9" s="213"/>
      <c r="I9"/>
      <c r="J9"/>
      <c r="K9"/>
    </row>
    <row r="10" spans="1:11" x14ac:dyDescent="0.2">
      <c r="A10" s="1"/>
      <c r="B10" s="26">
        <v>3</v>
      </c>
      <c r="C10" s="27">
        <v>80</v>
      </c>
      <c r="D10" s="77">
        <v>22</v>
      </c>
      <c r="E10" s="102">
        <v>268.3473458687028</v>
      </c>
      <c r="F10" s="103">
        <f t="shared" ref="F10:F42" si="0">E10*113.07/100</f>
        <v>303.42034397374226</v>
      </c>
      <c r="G10" s="214">
        <f>F10*D10*12</f>
        <v>80102.970809067949</v>
      </c>
      <c r="H10" s="220">
        <f>SUM(G9:G10)</f>
        <v>867266.01665178256</v>
      </c>
      <c r="I10" s="14"/>
      <c r="J10"/>
      <c r="K10"/>
    </row>
    <row r="11" spans="1:11" x14ac:dyDescent="0.2">
      <c r="A11" s="12"/>
      <c r="B11" s="26"/>
      <c r="C11" s="27"/>
      <c r="D11" s="77"/>
      <c r="E11" s="102"/>
      <c r="F11" s="103"/>
      <c r="G11" s="214"/>
      <c r="H11" s="215"/>
      <c r="I11"/>
      <c r="J11"/>
      <c r="K11"/>
    </row>
    <row r="12" spans="1:11" x14ac:dyDescent="0.2">
      <c r="A12" s="28" t="s">
        <v>7</v>
      </c>
      <c r="B12" s="26">
        <v>1</v>
      </c>
      <c r="C12" s="27">
        <v>80</v>
      </c>
      <c r="D12" s="77"/>
      <c r="E12" s="102">
        <v>419.29272791984812</v>
      </c>
      <c r="F12" s="103">
        <f t="shared" si="0"/>
        <v>474.09428745897225</v>
      </c>
      <c r="G12" s="214"/>
      <c r="H12" s="215"/>
      <c r="I12"/>
      <c r="J12"/>
      <c r="K12"/>
    </row>
    <row r="13" spans="1:11" x14ac:dyDescent="0.2">
      <c r="A13" s="12"/>
      <c r="B13" s="26">
        <v>3</v>
      </c>
      <c r="C13" s="27">
        <v>80</v>
      </c>
      <c r="D13" s="77"/>
      <c r="E13" s="102">
        <v>503.15127350381778</v>
      </c>
      <c r="F13" s="103">
        <f t="shared" si="0"/>
        <v>568.91314495076676</v>
      </c>
      <c r="G13" s="214"/>
      <c r="H13" s="215"/>
      <c r="I13"/>
      <c r="J13"/>
      <c r="K13"/>
    </row>
    <row r="14" spans="1:11" x14ac:dyDescent="0.2">
      <c r="A14" s="12"/>
      <c r="B14" s="26"/>
      <c r="C14" s="27"/>
      <c r="D14" s="77"/>
      <c r="E14" s="102"/>
      <c r="F14" s="103"/>
      <c r="G14" s="214"/>
      <c r="H14" s="215"/>
      <c r="I14"/>
      <c r="J14"/>
      <c r="K14"/>
    </row>
    <row r="15" spans="1:11" x14ac:dyDescent="0.2">
      <c r="A15" s="28" t="s">
        <v>37</v>
      </c>
      <c r="B15" s="26">
        <v>1</v>
      </c>
      <c r="C15" s="27">
        <v>80</v>
      </c>
      <c r="D15" s="77">
        <v>10</v>
      </c>
      <c r="E15" s="102">
        <v>167.67177447213598</v>
      </c>
      <c r="F15" s="103">
        <f t="shared" si="0"/>
        <v>189.58647539564416</v>
      </c>
      <c r="G15" s="214">
        <f t="shared" ref="G15:G42" si="1">F15*D15*12</f>
        <v>22750.377047477297</v>
      </c>
      <c r="H15" s="215"/>
      <c r="I15"/>
      <c r="J15"/>
      <c r="K15"/>
    </row>
    <row r="16" spans="1:11" x14ac:dyDescent="0.2">
      <c r="A16" s="28" t="s">
        <v>37</v>
      </c>
      <c r="B16" s="26">
        <v>3</v>
      </c>
      <c r="C16" s="27">
        <v>80</v>
      </c>
      <c r="D16" s="77">
        <v>8</v>
      </c>
      <c r="E16" s="102">
        <v>335.43418233587852</v>
      </c>
      <c r="F16" s="103">
        <f t="shared" si="0"/>
        <v>379.27542996717784</v>
      </c>
      <c r="G16" s="214">
        <f t="shared" si="1"/>
        <v>36410.441276849073</v>
      </c>
      <c r="H16" s="215"/>
      <c r="I16"/>
      <c r="J16"/>
      <c r="K16"/>
    </row>
    <row r="17" spans="1:11" x14ac:dyDescent="0.2">
      <c r="A17" s="28" t="s">
        <v>37</v>
      </c>
      <c r="B17" s="26">
        <v>3</v>
      </c>
      <c r="C17" s="29" t="s">
        <v>41</v>
      </c>
      <c r="D17" s="77">
        <v>0</v>
      </c>
      <c r="E17" s="102">
        <v>553.46640085419961</v>
      </c>
      <c r="F17" s="103">
        <f t="shared" si="0"/>
        <v>625.80445944584346</v>
      </c>
      <c r="G17" s="214">
        <f t="shared" si="1"/>
        <v>0</v>
      </c>
      <c r="H17" s="215"/>
      <c r="I17"/>
      <c r="J17"/>
      <c r="K17"/>
    </row>
    <row r="18" spans="1:11" x14ac:dyDescent="0.2">
      <c r="A18" s="28" t="s">
        <v>46</v>
      </c>
      <c r="B18" s="26">
        <v>3</v>
      </c>
      <c r="C18" s="27" t="s">
        <v>38</v>
      </c>
      <c r="D18" s="77">
        <v>3</v>
      </c>
      <c r="E18" s="102">
        <v>553.46640085419961</v>
      </c>
      <c r="F18" s="103">
        <f t="shared" si="0"/>
        <v>625.80445944584346</v>
      </c>
      <c r="G18" s="214">
        <f t="shared" si="1"/>
        <v>22528.960540050364</v>
      </c>
      <c r="H18" s="220">
        <f>SUM(G15:G18)</f>
        <v>81689.778864376742</v>
      </c>
      <c r="I18"/>
      <c r="J18"/>
      <c r="K18"/>
    </row>
    <row r="19" spans="1:11" x14ac:dyDescent="0.2">
      <c r="A19" s="28" t="s">
        <v>39</v>
      </c>
      <c r="B19" s="26" t="s">
        <v>38</v>
      </c>
      <c r="C19" s="27" t="s">
        <v>38</v>
      </c>
      <c r="D19" s="77">
        <v>47</v>
      </c>
      <c r="E19" s="102"/>
      <c r="F19" s="103"/>
      <c r="G19" s="214"/>
      <c r="H19" s="215"/>
      <c r="I19"/>
      <c r="J19"/>
      <c r="K19"/>
    </row>
    <row r="20" spans="1:11" x14ac:dyDescent="0.2">
      <c r="A20" s="28" t="s">
        <v>40</v>
      </c>
      <c r="B20" s="26">
        <v>1</v>
      </c>
      <c r="C20" s="27">
        <v>80</v>
      </c>
      <c r="D20" s="77">
        <v>11</v>
      </c>
      <c r="E20" s="102">
        <v>167.67177447213598</v>
      </c>
      <c r="F20" s="103">
        <f t="shared" si="0"/>
        <v>189.58647539564416</v>
      </c>
      <c r="G20" s="214">
        <f t="shared" si="1"/>
        <v>25025.414752225028</v>
      </c>
      <c r="H20" s="215"/>
      <c r="I20"/>
      <c r="J20"/>
      <c r="K20"/>
    </row>
    <row r="21" spans="1:11" x14ac:dyDescent="0.2">
      <c r="A21" s="12"/>
      <c r="B21" s="26">
        <v>3</v>
      </c>
      <c r="C21" s="27">
        <v>80</v>
      </c>
      <c r="D21" s="77">
        <v>3</v>
      </c>
      <c r="E21" s="102">
        <v>553.46640085419961</v>
      </c>
      <c r="F21" s="103">
        <f t="shared" si="0"/>
        <v>625.80445944584346</v>
      </c>
      <c r="G21" s="214">
        <f t="shared" si="1"/>
        <v>22528.960540050364</v>
      </c>
      <c r="H21" s="215"/>
      <c r="I21"/>
      <c r="J21"/>
      <c r="K21"/>
    </row>
    <row r="22" spans="1:11" x14ac:dyDescent="0.2">
      <c r="A22" s="12"/>
      <c r="B22" s="26">
        <v>3</v>
      </c>
      <c r="C22" s="29" t="s">
        <v>41</v>
      </c>
      <c r="D22" s="77">
        <v>3</v>
      </c>
      <c r="E22" s="102">
        <v>922.4440014236659</v>
      </c>
      <c r="F22" s="103">
        <f t="shared" si="0"/>
        <v>1043.0074324097391</v>
      </c>
      <c r="G22" s="214">
        <f t="shared" si="1"/>
        <v>37548.267566750605</v>
      </c>
      <c r="H22" s="221">
        <f>SUM(G20:G22)</f>
        <v>85102.642859026004</v>
      </c>
      <c r="I22"/>
      <c r="J22"/>
      <c r="K22"/>
    </row>
    <row r="23" spans="1:11" x14ac:dyDescent="0.2">
      <c r="A23" s="28" t="s">
        <v>55</v>
      </c>
      <c r="B23" s="30"/>
      <c r="C23" s="27"/>
      <c r="D23" s="77"/>
      <c r="E23" s="102"/>
      <c r="F23" s="103"/>
      <c r="G23" s="214"/>
      <c r="H23" s="215"/>
      <c r="I23"/>
      <c r="J23"/>
      <c r="K23"/>
    </row>
    <row r="24" spans="1:11" x14ac:dyDescent="0.2">
      <c r="A24" s="12"/>
      <c r="B24" s="26">
        <v>1</v>
      </c>
      <c r="C24" s="27">
        <v>40</v>
      </c>
      <c r="D24" s="78">
        <v>1</v>
      </c>
      <c r="E24" s="103">
        <v>0</v>
      </c>
      <c r="F24" s="103">
        <v>0</v>
      </c>
      <c r="G24" s="214">
        <v>0</v>
      </c>
      <c r="H24" s="215"/>
      <c r="I24"/>
      <c r="J24"/>
      <c r="K24"/>
    </row>
    <row r="25" spans="1:11" x14ac:dyDescent="0.2">
      <c r="A25" s="12"/>
      <c r="B25" s="26">
        <v>1</v>
      </c>
      <c r="C25" s="27">
        <v>80</v>
      </c>
      <c r="D25" s="77">
        <v>46</v>
      </c>
      <c r="E25" s="102">
        <v>806.70777205197146</v>
      </c>
      <c r="F25" s="103">
        <f t="shared" si="0"/>
        <v>912.144477859164</v>
      </c>
      <c r="G25" s="214">
        <f t="shared" si="1"/>
        <v>503503.75177825848</v>
      </c>
      <c r="H25" s="215"/>
      <c r="I25"/>
      <c r="J25"/>
      <c r="K25"/>
    </row>
    <row r="26" spans="1:11" x14ac:dyDescent="0.2">
      <c r="A26" s="12"/>
      <c r="B26" s="26">
        <v>3</v>
      </c>
      <c r="C26" s="27">
        <v>40</v>
      </c>
      <c r="D26" s="77">
        <v>19</v>
      </c>
      <c r="E26" s="102">
        <v>1121.5409603491266</v>
      </c>
      <c r="F26" s="103">
        <f t="shared" si="0"/>
        <v>1268.1263638667574</v>
      </c>
      <c r="G26" s="214">
        <f t="shared" si="1"/>
        <v>289132.81096162071</v>
      </c>
      <c r="H26" s="215"/>
      <c r="I26"/>
      <c r="J26"/>
      <c r="K26"/>
    </row>
    <row r="27" spans="1:11" x14ac:dyDescent="0.2">
      <c r="A27" s="12"/>
      <c r="B27" s="26">
        <v>3</v>
      </c>
      <c r="C27" s="27">
        <v>80</v>
      </c>
      <c r="D27" s="77">
        <v>51</v>
      </c>
      <c r="E27" s="102">
        <v>1358.5084384603081</v>
      </c>
      <c r="F27" s="103">
        <f t="shared" si="0"/>
        <v>1536.0654913670703</v>
      </c>
      <c r="G27" s="214">
        <f t="shared" si="1"/>
        <v>940072.08071664709</v>
      </c>
      <c r="H27" s="215"/>
      <c r="I27"/>
      <c r="J27"/>
      <c r="K27"/>
    </row>
    <row r="28" spans="1:11" x14ac:dyDescent="0.2">
      <c r="A28" s="12"/>
      <c r="B28" s="26">
        <v>3</v>
      </c>
      <c r="C28" s="27">
        <v>150</v>
      </c>
      <c r="D28" s="77">
        <v>13</v>
      </c>
      <c r="E28" s="102">
        <v>2307.6697725070267</v>
      </c>
      <c r="F28" s="103">
        <f t="shared" si="0"/>
        <v>2609.2822117736951</v>
      </c>
      <c r="G28" s="214">
        <f t="shared" si="1"/>
        <v>407048.02503669646</v>
      </c>
      <c r="H28" s="215"/>
      <c r="I28"/>
      <c r="J28"/>
      <c r="K28"/>
    </row>
    <row r="29" spans="1:11" x14ac:dyDescent="0.2">
      <c r="A29" s="28" t="s">
        <v>9</v>
      </c>
      <c r="B29" s="30"/>
      <c r="C29" s="3"/>
      <c r="D29" s="77">
        <v>13</v>
      </c>
      <c r="E29" s="102">
        <v>4382.1244841771759</v>
      </c>
      <c r="F29" s="103">
        <f t="shared" si="0"/>
        <v>4954.868154259133</v>
      </c>
      <c r="G29" s="214">
        <f t="shared" si="1"/>
        <v>772959.43206442473</v>
      </c>
      <c r="H29" s="221">
        <f>SUM(G24:G29)</f>
        <v>2912716.1005576472</v>
      </c>
      <c r="I29"/>
      <c r="J29"/>
      <c r="K29"/>
    </row>
    <row r="30" spans="1:11" x14ac:dyDescent="0.2">
      <c r="A30" s="28"/>
      <c r="B30" s="30"/>
      <c r="C30" s="3"/>
      <c r="D30" s="77"/>
      <c r="E30" s="102"/>
      <c r="F30" s="103"/>
      <c r="G30" s="214"/>
      <c r="H30" s="215"/>
      <c r="I30"/>
      <c r="J30"/>
      <c r="K30"/>
    </row>
    <row r="31" spans="1:11" x14ac:dyDescent="0.2">
      <c r="A31" s="28" t="s">
        <v>10</v>
      </c>
      <c r="B31" s="30"/>
      <c r="C31" s="3"/>
      <c r="D31" s="77"/>
      <c r="F31" s="103"/>
      <c r="G31" s="214"/>
      <c r="H31" s="215"/>
      <c r="I31"/>
      <c r="J31"/>
      <c r="K31"/>
    </row>
    <row r="32" spans="1:11" x14ac:dyDescent="0.2">
      <c r="A32" s="12"/>
      <c r="B32" s="26">
        <v>1</v>
      </c>
      <c r="C32" s="3">
        <v>80</v>
      </c>
      <c r="D32" s="77">
        <v>2</v>
      </c>
      <c r="E32" s="102">
        <v>806.70777205197146</v>
      </c>
      <c r="F32" s="103">
        <f t="shared" si="0"/>
        <v>912.144477859164</v>
      </c>
      <c r="G32" s="214">
        <f t="shared" si="1"/>
        <v>21891.467468619936</v>
      </c>
      <c r="H32" s="215"/>
      <c r="I32"/>
      <c r="J32"/>
      <c r="K32"/>
    </row>
    <row r="33" spans="1:13" x14ac:dyDescent="0.2">
      <c r="A33" s="12"/>
      <c r="B33" s="26">
        <v>3</v>
      </c>
      <c r="C33" s="3">
        <v>40</v>
      </c>
      <c r="D33" s="77">
        <v>8</v>
      </c>
      <c r="E33" s="102">
        <v>1120.9176469720971</v>
      </c>
      <c r="F33" s="103">
        <f t="shared" si="0"/>
        <v>1267.4215834313502</v>
      </c>
      <c r="G33" s="214">
        <f t="shared" si="1"/>
        <v>121672.47200940963</v>
      </c>
      <c r="H33" s="215"/>
      <c r="I33"/>
      <c r="J33"/>
      <c r="K33"/>
    </row>
    <row r="34" spans="1:13" x14ac:dyDescent="0.2">
      <c r="A34" s="12"/>
      <c r="B34" s="26">
        <v>3</v>
      </c>
      <c r="C34" s="3">
        <v>80</v>
      </c>
      <c r="D34" s="77">
        <v>34</v>
      </c>
      <c r="E34" s="102">
        <v>1358.0891390266463</v>
      </c>
      <c r="F34" s="103">
        <f t="shared" si="0"/>
        <v>1535.591389497429</v>
      </c>
      <c r="G34" s="214">
        <f t="shared" si="1"/>
        <v>626521.28691495105</v>
      </c>
      <c r="H34" s="215"/>
      <c r="I34"/>
      <c r="J34"/>
      <c r="K34"/>
    </row>
    <row r="35" spans="1:13" x14ac:dyDescent="0.2">
      <c r="A35" s="12"/>
      <c r="B35" s="26">
        <v>3</v>
      </c>
      <c r="C35" s="3">
        <v>150</v>
      </c>
      <c r="D35" s="77">
        <v>16</v>
      </c>
      <c r="E35" s="102">
        <v>2308.1868423165979</v>
      </c>
      <c r="F35" s="103">
        <f t="shared" si="0"/>
        <v>2609.8668626073772</v>
      </c>
      <c r="G35" s="214">
        <f t="shared" si="1"/>
        <v>501094.4376206164</v>
      </c>
      <c r="H35" s="215"/>
      <c r="I35"/>
      <c r="J35"/>
      <c r="K35"/>
    </row>
    <row r="36" spans="1:13" x14ac:dyDescent="0.2">
      <c r="A36" s="28" t="s">
        <v>9</v>
      </c>
      <c r="B36" s="26"/>
      <c r="C36" s="3"/>
      <c r="D36" s="77">
        <v>18</v>
      </c>
      <c r="E36" s="102">
        <v>4382.1244841771759</v>
      </c>
      <c r="F36" s="103">
        <f t="shared" si="0"/>
        <v>4954.868154259133</v>
      </c>
      <c r="G36" s="214">
        <f t="shared" si="1"/>
        <v>1070251.5213199728</v>
      </c>
      <c r="H36" s="221">
        <f>SUM(G32:G36)</f>
        <v>2341431.18533357</v>
      </c>
      <c r="I36"/>
      <c r="J36"/>
      <c r="K36"/>
    </row>
    <row r="37" spans="1:13" x14ac:dyDescent="0.2">
      <c r="A37" s="12"/>
      <c r="B37" s="26"/>
      <c r="C37" s="3"/>
      <c r="D37" s="77"/>
      <c r="E37" s="102"/>
      <c r="F37" s="103"/>
      <c r="G37" s="214"/>
      <c r="H37" s="215"/>
      <c r="I37"/>
      <c r="J37"/>
      <c r="K37"/>
    </row>
    <row r="38" spans="1:13" x14ac:dyDescent="0.2">
      <c r="A38" s="28" t="s">
        <v>11</v>
      </c>
      <c r="B38" s="26"/>
      <c r="C38" s="3"/>
      <c r="D38" s="77"/>
      <c r="F38" s="103"/>
      <c r="G38" s="214"/>
      <c r="H38" s="215"/>
      <c r="I38"/>
      <c r="J38"/>
      <c r="K38"/>
    </row>
    <row r="39" spans="1:13" x14ac:dyDescent="0.2">
      <c r="A39" s="12"/>
      <c r="B39" s="26">
        <v>1</v>
      </c>
      <c r="C39" s="3">
        <v>80</v>
      </c>
      <c r="D39" s="77">
        <v>0</v>
      </c>
      <c r="E39" s="102">
        <v>806.70777205197146</v>
      </c>
      <c r="F39" s="103">
        <f t="shared" si="0"/>
        <v>912.144477859164</v>
      </c>
      <c r="G39" s="214"/>
      <c r="H39" s="215"/>
      <c r="I39"/>
      <c r="J39"/>
      <c r="K39"/>
    </row>
    <row r="40" spans="1:13" x14ac:dyDescent="0.2">
      <c r="A40" s="12"/>
      <c r="B40" s="26">
        <v>3</v>
      </c>
      <c r="C40" s="3">
        <v>80</v>
      </c>
      <c r="D40" s="77">
        <v>0</v>
      </c>
      <c r="E40" s="102">
        <v>1233.8564527123585</v>
      </c>
      <c r="F40" s="103">
        <f t="shared" si="0"/>
        <v>1395.1214910818637</v>
      </c>
      <c r="G40" s="214"/>
      <c r="H40" s="215"/>
      <c r="I40"/>
      <c r="J40"/>
      <c r="K40"/>
    </row>
    <row r="41" spans="1:13" x14ac:dyDescent="0.2">
      <c r="A41" s="12"/>
      <c r="B41" s="26">
        <v>3</v>
      </c>
      <c r="C41" s="3">
        <v>150</v>
      </c>
      <c r="D41" s="77">
        <v>0</v>
      </c>
      <c r="E41" s="102">
        <v>2285.5990811685456</v>
      </c>
      <c r="F41" s="103">
        <f t="shared" si="0"/>
        <v>2584.3268810772743</v>
      </c>
      <c r="G41" s="214"/>
      <c r="H41" s="215"/>
      <c r="I41"/>
      <c r="J41"/>
      <c r="K41"/>
    </row>
    <row r="42" spans="1:13" ht="13.5" thickBot="1" x14ac:dyDescent="0.25">
      <c r="A42" s="28" t="s">
        <v>9</v>
      </c>
      <c r="B42" s="31"/>
      <c r="C42" s="32"/>
      <c r="D42" s="79">
        <v>3</v>
      </c>
      <c r="E42" s="104">
        <v>4382.1244841771759</v>
      </c>
      <c r="F42" s="105">
        <f t="shared" si="0"/>
        <v>4954.868154259133</v>
      </c>
      <c r="G42" s="216">
        <f t="shared" si="1"/>
        <v>178375.2535533288</v>
      </c>
      <c r="H42" s="222">
        <f>G42</f>
        <v>178375.2535533288</v>
      </c>
      <c r="I42"/>
      <c r="J42"/>
      <c r="K42"/>
    </row>
    <row r="43" spans="1:13" x14ac:dyDescent="0.2">
      <c r="A43" s="12"/>
      <c r="B43" s="9"/>
      <c r="C43" s="9"/>
      <c r="D43" s="9"/>
      <c r="E43" s="9"/>
      <c r="F43" s="11"/>
      <c r="G43" s="11"/>
      <c r="H43" s="8"/>
      <c r="I43" s="8"/>
      <c r="J43" s="64"/>
      <c r="K43" s="88"/>
    </row>
    <row r="44" spans="1:13" ht="13.5" thickBot="1" x14ac:dyDescent="0.25">
      <c r="A44" s="12"/>
      <c r="B44" s="9"/>
      <c r="C44" s="9"/>
      <c r="D44" s="9"/>
      <c r="E44" s="9"/>
      <c r="F44" s="110" t="s">
        <v>56</v>
      </c>
      <c r="H44" s="9"/>
      <c r="I44" s="9"/>
      <c r="J44" s="64"/>
      <c r="K44" s="9"/>
    </row>
    <row r="45" spans="1:13" ht="34.5" thickBot="1" x14ac:dyDescent="0.25">
      <c r="A45" s="33"/>
      <c r="B45" s="83" t="s">
        <v>30</v>
      </c>
      <c r="C45" s="84" t="s">
        <v>12</v>
      </c>
      <c r="D45" s="82" t="s">
        <v>25</v>
      </c>
      <c r="E45" s="109" t="str">
        <f>E6</f>
        <v>2018/2019
TARIFFS</v>
      </c>
      <c r="F45" s="224" t="s">
        <v>57</v>
      </c>
      <c r="G45" s="223" t="s">
        <v>91</v>
      </c>
      <c r="H45"/>
      <c r="I45"/>
      <c r="J45"/>
      <c r="K45"/>
    </row>
    <row r="46" spans="1:13" x14ac:dyDescent="0.2">
      <c r="A46" s="34" t="s">
        <v>34</v>
      </c>
      <c r="B46" s="35"/>
      <c r="C46" s="4"/>
      <c r="D46" s="36"/>
      <c r="E46" s="37"/>
      <c r="F46" s="217"/>
      <c r="G46"/>
      <c r="H46"/>
      <c r="I46"/>
      <c r="J46"/>
      <c r="K46"/>
    </row>
    <row r="47" spans="1:13" x14ac:dyDescent="0.2">
      <c r="A47" s="38" t="s">
        <v>21</v>
      </c>
      <c r="B47" s="39">
        <v>368</v>
      </c>
      <c r="C47" s="40">
        <v>50</v>
      </c>
      <c r="D47" s="41" t="s">
        <v>26</v>
      </c>
      <c r="E47" s="114">
        <f>'[1]2019-2020'!$M47</f>
        <v>0.9</v>
      </c>
      <c r="F47" s="111">
        <f>E47*113.07/100</f>
        <v>1.0176299999999998</v>
      </c>
      <c r="G47" s="225">
        <f>((C47*F47)*B47)*12</f>
        <v>224692.70399999997</v>
      </c>
      <c r="H47"/>
      <c r="I47"/>
      <c r="J47"/>
      <c r="K47"/>
      <c r="M47" s="5"/>
    </row>
    <row r="48" spans="1:13" x14ac:dyDescent="0.2">
      <c r="A48" s="42" t="s">
        <v>22</v>
      </c>
      <c r="B48" s="39">
        <v>320</v>
      </c>
      <c r="C48" s="43">
        <v>299</v>
      </c>
      <c r="D48" s="44" t="s">
        <v>27</v>
      </c>
      <c r="E48" s="114">
        <f>'[1]2019-2020'!$M48</f>
        <v>1.18</v>
      </c>
      <c r="F48" s="111">
        <f>E48*113.07/100</f>
        <v>1.3342259999999999</v>
      </c>
      <c r="G48" s="225">
        <f t="shared" ref="G48:G50" si="2">((C48*F48)*B48)*12</f>
        <v>1531904.9241599999</v>
      </c>
      <c r="H48"/>
      <c r="I48"/>
      <c r="J48"/>
      <c r="K48"/>
    </row>
    <row r="49" spans="1:13" x14ac:dyDescent="0.2">
      <c r="A49" s="42" t="s">
        <v>23</v>
      </c>
      <c r="B49" s="39">
        <v>276</v>
      </c>
      <c r="C49" s="43">
        <v>649</v>
      </c>
      <c r="D49" s="70" t="s">
        <v>28</v>
      </c>
      <c r="E49" s="114">
        <f>'[1]2019-2020'!$M49</f>
        <v>1.47</v>
      </c>
      <c r="F49" s="111">
        <f>E49*113.07/100</f>
        <v>1.662129</v>
      </c>
      <c r="G49" s="225">
        <f t="shared" si="2"/>
        <v>3572726.3399519995</v>
      </c>
      <c r="H49"/>
      <c r="I49"/>
      <c r="J49"/>
      <c r="K49"/>
    </row>
    <row r="50" spans="1:13" x14ac:dyDescent="0.2">
      <c r="A50" s="42" t="s">
        <v>24</v>
      </c>
      <c r="B50" s="39">
        <v>220</v>
      </c>
      <c r="C50" s="43">
        <v>513</v>
      </c>
      <c r="D50" s="70" t="s">
        <v>29</v>
      </c>
      <c r="E50" s="114">
        <f>'[1]2019-2020'!$M50</f>
        <v>1.76</v>
      </c>
      <c r="F50" s="111">
        <f>E50*113.07/100</f>
        <v>1.990032</v>
      </c>
      <c r="G50" s="225">
        <f t="shared" si="2"/>
        <v>2695140.1382400002</v>
      </c>
      <c r="H50"/>
      <c r="I50"/>
      <c r="J50"/>
      <c r="K50"/>
    </row>
    <row r="51" spans="1:13" x14ac:dyDescent="0.2">
      <c r="A51" s="42"/>
      <c r="B51" s="39"/>
      <c r="C51" s="43">
        <f>SUM(C47:C50)</f>
        <v>1511</v>
      </c>
      <c r="D51" s="44"/>
      <c r="E51" s="45"/>
      <c r="F51" s="111"/>
      <c r="G51" s="225"/>
      <c r="H51"/>
      <c r="I51"/>
      <c r="J51"/>
      <c r="K51"/>
    </row>
    <row r="52" spans="1:13" x14ac:dyDescent="0.2">
      <c r="A52" s="42"/>
      <c r="B52" s="39"/>
      <c r="C52" s="43"/>
      <c r="D52" s="44"/>
      <c r="E52" s="45"/>
      <c r="F52" s="111"/>
      <c r="G52" s="225"/>
      <c r="H52"/>
      <c r="I52"/>
      <c r="J52"/>
      <c r="K52"/>
    </row>
    <row r="53" spans="1:13" x14ac:dyDescent="0.2">
      <c r="A53" s="46" t="s">
        <v>31</v>
      </c>
      <c r="B53" s="47"/>
      <c r="C53" s="48"/>
      <c r="D53" s="44"/>
      <c r="E53" s="45"/>
      <c r="F53" s="111"/>
      <c r="G53" s="225"/>
      <c r="H53"/>
      <c r="I53"/>
      <c r="J53"/>
      <c r="K53"/>
    </row>
    <row r="54" spans="1:13" x14ac:dyDescent="0.2">
      <c r="A54" s="38" t="s">
        <v>21</v>
      </c>
      <c r="B54" s="47">
        <v>579</v>
      </c>
      <c r="C54" s="40">
        <v>50</v>
      </c>
      <c r="D54" s="41" t="s">
        <v>26</v>
      </c>
      <c r="E54" s="89">
        <f>'[1]2019-2020'!$M54</f>
        <v>0.93540000000000001</v>
      </c>
      <c r="F54" s="111">
        <v>1.03</v>
      </c>
      <c r="G54" s="225">
        <f t="shared" ref="G54:G55" si="3">((C54*F54)*B54)*12</f>
        <v>357822</v>
      </c>
      <c r="H54"/>
      <c r="I54"/>
      <c r="J54"/>
      <c r="K54"/>
    </row>
    <row r="55" spans="1:13" x14ac:dyDescent="0.2">
      <c r="A55" s="42" t="s">
        <v>22</v>
      </c>
      <c r="B55" s="47">
        <v>579</v>
      </c>
      <c r="C55" s="43">
        <v>299</v>
      </c>
      <c r="D55" s="44" t="s">
        <v>27</v>
      </c>
      <c r="E55" s="89">
        <f>'[1]2019-2020'!$M55</f>
        <v>1.1756</v>
      </c>
      <c r="F55" s="111">
        <f t="shared" ref="F55" si="4">E55*113.07/100</f>
        <v>1.3292509199999998</v>
      </c>
      <c r="G55" s="225">
        <f t="shared" si="3"/>
        <v>2761454.9822558393</v>
      </c>
      <c r="H55"/>
      <c r="I55"/>
      <c r="J55"/>
      <c r="K55"/>
    </row>
    <row r="56" spans="1:13" x14ac:dyDescent="0.2">
      <c r="A56" s="42" t="s">
        <v>23</v>
      </c>
      <c r="B56" s="47">
        <f>B55*67/100</f>
        <v>387.93</v>
      </c>
      <c r="C56" s="43">
        <v>249</v>
      </c>
      <c r="D56" s="44" t="s">
        <v>28</v>
      </c>
      <c r="E56" s="89">
        <f>'[1]2019-2020'!$M56</f>
        <v>1.5278119999999999</v>
      </c>
      <c r="F56" s="111">
        <v>1.77</v>
      </c>
      <c r="G56" s="225">
        <f>((C56*F56)*B56)*12</f>
        <v>2051668.6668000002</v>
      </c>
      <c r="H56"/>
      <c r="I56"/>
      <c r="J56"/>
      <c r="K56"/>
    </row>
    <row r="57" spans="1:13" x14ac:dyDescent="0.2">
      <c r="A57" s="42" t="s">
        <v>24</v>
      </c>
      <c r="B57" s="47">
        <f>B54*6/100</f>
        <v>34.74</v>
      </c>
      <c r="C57" s="43">
        <v>602</v>
      </c>
      <c r="D57" s="44" t="s">
        <v>29</v>
      </c>
      <c r="E57" s="89">
        <f>'[1]2019-2020'!$M57</f>
        <v>1.8483320000000001</v>
      </c>
      <c r="F57" s="111">
        <v>2.13</v>
      </c>
      <c r="G57" s="225">
        <f>((C57*F57)*B57)*12</f>
        <v>534548.54879999999</v>
      </c>
      <c r="H57"/>
      <c r="I57"/>
      <c r="J57"/>
      <c r="K57"/>
    </row>
    <row r="58" spans="1:13" x14ac:dyDescent="0.2">
      <c r="A58" s="42"/>
      <c r="B58" s="47"/>
      <c r="C58" s="43">
        <f>SUM(C54:C57)</f>
        <v>1200</v>
      </c>
      <c r="D58" s="44"/>
      <c r="E58" s="45"/>
      <c r="F58" s="111"/>
      <c r="G58" s="225"/>
      <c r="H58"/>
      <c r="I58"/>
      <c r="J58"/>
      <c r="K58"/>
    </row>
    <row r="59" spans="1:13" x14ac:dyDescent="0.2">
      <c r="A59" s="46" t="s">
        <v>32</v>
      </c>
      <c r="B59" s="47"/>
      <c r="C59" s="48"/>
      <c r="D59" s="44"/>
      <c r="E59" s="45"/>
      <c r="F59" s="111"/>
      <c r="G59" s="225"/>
      <c r="H59"/>
      <c r="I59"/>
      <c r="J59"/>
      <c r="K59"/>
    </row>
    <row r="60" spans="1:13" x14ac:dyDescent="0.2">
      <c r="A60" s="38" t="s">
        <v>21</v>
      </c>
      <c r="B60" s="47">
        <v>5</v>
      </c>
      <c r="C60" s="43">
        <v>50</v>
      </c>
      <c r="D60" s="41" t="s">
        <v>26</v>
      </c>
      <c r="E60" s="89">
        <f>'[1]2019-2020'!$M60</f>
        <v>0.95087600000000005</v>
      </c>
      <c r="F60" s="111">
        <f t="shared" ref="F60:F63" si="5">E60*113.07/100</f>
        <v>1.0751554932</v>
      </c>
      <c r="G60" s="225">
        <f t="shared" ref="G60:G63" si="6">((C60*F60)*B60)*12</f>
        <v>3225.4664796000006</v>
      </c>
      <c r="H60"/>
      <c r="I60"/>
      <c r="J60"/>
      <c r="K60"/>
      <c r="M60" s="5"/>
    </row>
    <row r="61" spans="1:13" x14ac:dyDescent="0.2">
      <c r="A61" s="42" t="s">
        <v>22</v>
      </c>
      <c r="B61" s="47">
        <v>5</v>
      </c>
      <c r="C61" s="43">
        <v>299</v>
      </c>
      <c r="D61" s="44" t="s">
        <v>27</v>
      </c>
      <c r="E61" s="89">
        <f>'[1]2019-2020'!$M61</f>
        <v>1.2179759999999999</v>
      </c>
      <c r="F61" s="111">
        <f t="shared" si="5"/>
        <v>1.3771654631999999</v>
      </c>
      <c r="G61" s="225">
        <f t="shared" si="6"/>
        <v>24706.348409808001</v>
      </c>
      <c r="H61"/>
      <c r="I61"/>
      <c r="J61"/>
      <c r="K61"/>
    </row>
    <row r="62" spans="1:13" x14ac:dyDescent="0.2">
      <c r="A62" s="42" t="s">
        <v>23</v>
      </c>
      <c r="B62" s="47">
        <v>5</v>
      </c>
      <c r="C62" s="43">
        <v>249</v>
      </c>
      <c r="D62" s="44" t="s">
        <v>28</v>
      </c>
      <c r="E62" s="89">
        <f>'[1]2019-2020'!$M62</f>
        <v>1.634652</v>
      </c>
      <c r="F62" s="111">
        <f t="shared" si="5"/>
        <v>1.8483010163999998</v>
      </c>
      <c r="G62" s="225">
        <f t="shared" si="6"/>
        <v>27613.617185015999</v>
      </c>
      <c r="H62"/>
      <c r="I62"/>
      <c r="J62"/>
      <c r="K62"/>
    </row>
    <row r="63" spans="1:13" x14ac:dyDescent="0.2">
      <c r="A63" s="42" t="s">
        <v>24</v>
      </c>
      <c r="B63" s="47">
        <v>5</v>
      </c>
      <c r="C63" s="43">
        <v>602</v>
      </c>
      <c r="D63" s="44" t="s">
        <v>29</v>
      </c>
      <c r="E63" s="89">
        <f>'[1]2019-2020'!$M63</f>
        <v>1.944488</v>
      </c>
      <c r="F63" s="111">
        <f t="shared" si="5"/>
        <v>2.1986325816000001</v>
      </c>
      <c r="G63" s="225">
        <f t="shared" si="6"/>
        <v>79414.608847391995</v>
      </c>
      <c r="H63"/>
      <c r="I63"/>
      <c r="J63"/>
      <c r="K63"/>
    </row>
    <row r="64" spans="1:13" x14ac:dyDescent="0.2">
      <c r="A64" s="42"/>
      <c r="B64" s="47"/>
      <c r="C64" s="43"/>
      <c r="D64" s="44"/>
      <c r="E64" s="45"/>
      <c r="F64" s="111"/>
      <c r="G64" s="225"/>
      <c r="H64"/>
      <c r="I64"/>
      <c r="J64"/>
      <c r="K64"/>
    </row>
    <row r="65" spans="1:11" x14ac:dyDescent="0.2">
      <c r="A65" s="46" t="s">
        <v>42</v>
      </c>
      <c r="B65" s="47"/>
      <c r="C65" s="43"/>
      <c r="D65" s="44"/>
      <c r="E65" s="45"/>
      <c r="F65" s="111"/>
      <c r="G65" s="225"/>
      <c r="H65"/>
      <c r="I65"/>
      <c r="J65"/>
      <c r="K65"/>
    </row>
    <row r="66" spans="1:11" x14ac:dyDescent="0.2">
      <c r="A66" s="91" t="s">
        <v>44</v>
      </c>
      <c r="B66" s="47">
        <f>$D$15</f>
        <v>10</v>
      </c>
      <c r="C66" s="43">
        <f>1351*12</f>
        <v>16212</v>
      </c>
      <c r="D66" s="44"/>
      <c r="E66" s="89">
        <v>1.23</v>
      </c>
      <c r="F66" s="111">
        <f>E66*117/100</f>
        <v>1.4391</v>
      </c>
      <c r="G66" s="225">
        <f t="shared" ref="G66:G91" si="7">B66*C66*12*F66</f>
        <v>2799682.7039999999</v>
      </c>
      <c r="H66"/>
      <c r="I66"/>
      <c r="J66"/>
      <c r="K66"/>
    </row>
    <row r="67" spans="1:11" x14ac:dyDescent="0.2">
      <c r="A67" s="91" t="s">
        <v>45</v>
      </c>
      <c r="B67" s="47">
        <f>D16+D18</f>
        <v>11</v>
      </c>
      <c r="C67" s="43">
        <f>7958*12</f>
        <v>95496</v>
      </c>
      <c r="D67" s="44"/>
      <c r="E67" s="89">
        <v>1.23</v>
      </c>
      <c r="F67" s="111">
        <f>E67*117/100</f>
        <v>1.4391</v>
      </c>
      <c r="G67" s="225">
        <f t="shared" si="7"/>
        <v>18140534.755200002</v>
      </c>
      <c r="H67"/>
      <c r="I67"/>
      <c r="J67"/>
      <c r="K67"/>
    </row>
    <row r="68" spans="1:11" x14ac:dyDescent="0.2">
      <c r="A68" s="91" t="s">
        <v>48</v>
      </c>
      <c r="B68" s="47">
        <f>D17</f>
        <v>0</v>
      </c>
      <c r="C68" s="43">
        <v>0</v>
      </c>
      <c r="D68" s="44"/>
      <c r="E68" s="89"/>
      <c r="F68" s="111"/>
      <c r="G68" s="225"/>
      <c r="H68"/>
      <c r="I68"/>
      <c r="J68"/>
      <c r="K68"/>
    </row>
    <row r="69" spans="1:11" x14ac:dyDescent="0.2">
      <c r="A69" s="46" t="s">
        <v>43</v>
      </c>
      <c r="B69" s="47"/>
      <c r="C69" s="43"/>
      <c r="D69" s="44"/>
      <c r="E69" s="45"/>
      <c r="F69" s="111">
        <f t="shared" ref="F69:F70" si="8">E69*113.07/100</f>
        <v>0</v>
      </c>
      <c r="G69" s="225"/>
      <c r="H69"/>
      <c r="I69"/>
      <c r="J69"/>
      <c r="K69"/>
    </row>
    <row r="70" spans="1:11" x14ac:dyDescent="0.2">
      <c r="A70" s="42"/>
      <c r="B70" s="47">
        <v>58</v>
      </c>
      <c r="C70" s="43">
        <f>61399*12</f>
        <v>736788</v>
      </c>
      <c r="D70" s="71"/>
      <c r="E70" s="90">
        <v>1.23</v>
      </c>
      <c r="F70" s="111">
        <f t="shared" si="8"/>
        <v>1.3907609999999999</v>
      </c>
      <c r="G70" s="225">
        <f t="shared" si="7"/>
        <v>713188426.90492797</v>
      </c>
      <c r="H70"/>
      <c r="I70"/>
      <c r="J70"/>
      <c r="K70"/>
    </row>
    <row r="71" spans="1:11" x14ac:dyDescent="0.2">
      <c r="A71" s="46" t="s">
        <v>36</v>
      </c>
      <c r="B71" s="47"/>
      <c r="C71" s="43"/>
      <c r="D71" s="44"/>
      <c r="E71" s="45"/>
      <c r="F71" s="111"/>
      <c r="G71" s="225"/>
      <c r="H71"/>
      <c r="I71"/>
      <c r="J71"/>
      <c r="K71"/>
    </row>
    <row r="72" spans="1:11" x14ac:dyDescent="0.2">
      <c r="A72" s="42" t="s">
        <v>44</v>
      </c>
      <c r="B72" s="47">
        <v>89</v>
      </c>
      <c r="C72" s="43">
        <f>51875*12</f>
        <v>622500</v>
      </c>
      <c r="D72" s="44"/>
      <c r="E72" s="44">
        <v>1.7612599999999998</v>
      </c>
      <c r="F72" s="159">
        <f>E72*117/100</f>
        <v>2.0606741999999998</v>
      </c>
      <c r="G72" s="225">
        <f t="shared" si="7"/>
        <v>1369998028.3859999</v>
      </c>
      <c r="H72"/>
      <c r="I72"/>
      <c r="J72"/>
      <c r="K72"/>
    </row>
    <row r="73" spans="1:11" x14ac:dyDescent="0.2">
      <c r="A73" s="42" t="s">
        <v>45</v>
      </c>
      <c r="B73" s="47">
        <v>20</v>
      </c>
      <c r="C73" s="43">
        <f>307141*12</f>
        <v>3685692</v>
      </c>
      <c r="D73" s="44"/>
      <c r="E73" s="44">
        <v>1.7718699999999998</v>
      </c>
      <c r="F73" s="159">
        <f>E73*117/100</f>
        <v>2.0730879</v>
      </c>
      <c r="G73" s="225">
        <f t="shared" si="7"/>
        <v>1833783237.198432</v>
      </c>
      <c r="H73" s="198">
        <f>3000*F76+E25+E32</f>
        <v>6569.4155441039438</v>
      </c>
      <c r="I73"/>
      <c r="J73"/>
      <c r="K73"/>
    </row>
    <row r="74" spans="1:11" x14ac:dyDescent="0.2">
      <c r="A74" s="91"/>
      <c r="B74" s="47"/>
      <c r="C74" s="43"/>
      <c r="D74" s="44"/>
      <c r="E74" s="44"/>
      <c r="F74" s="111"/>
      <c r="G74" s="225"/>
      <c r="H74" s="198">
        <f>H73/3000</f>
        <v>2.1898051813679813</v>
      </c>
      <c r="I74"/>
      <c r="J74"/>
      <c r="K74"/>
    </row>
    <row r="75" spans="1:11" x14ac:dyDescent="0.2">
      <c r="A75" s="46" t="s">
        <v>35</v>
      </c>
      <c r="B75" s="115"/>
      <c r="C75" s="116"/>
      <c r="D75" s="44"/>
      <c r="E75" s="44"/>
      <c r="F75" s="111"/>
      <c r="G75" s="225"/>
      <c r="H75" s="198"/>
      <c r="I75"/>
      <c r="J75"/>
      <c r="K75"/>
    </row>
    <row r="76" spans="1:11" x14ac:dyDescent="0.2">
      <c r="A76" s="91" t="s">
        <v>58</v>
      </c>
      <c r="B76" s="115">
        <v>49</v>
      </c>
      <c r="C76" s="117">
        <f>51875*12</f>
        <v>622500</v>
      </c>
      <c r="D76" s="44"/>
      <c r="E76" s="44">
        <v>1.4</v>
      </c>
      <c r="F76" s="159">
        <f>E76*118/100</f>
        <v>1.6519999999999999</v>
      </c>
      <c r="G76" s="225">
        <f t="shared" si="7"/>
        <v>604681560</v>
      </c>
      <c r="H76" s="198"/>
      <c r="I76"/>
      <c r="J76"/>
      <c r="K76"/>
    </row>
    <row r="77" spans="1:11" x14ac:dyDescent="0.2">
      <c r="A77" s="91"/>
      <c r="B77" s="115"/>
      <c r="C77" s="117"/>
      <c r="D77" s="44"/>
      <c r="E77" s="44"/>
      <c r="F77" s="111"/>
      <c r="G77" s="225"/>
      <c r="H77" s="198"/>
      <c r="I77"/>
      <c r="J77"/>
      <c r="K77"/>
    </row>
    <row r="78" spans="1:11" x14ac:dyDescent="0.2">
      <c r="A78" s="118" t="s">
        <v>59</v>
      </c>
      <c r="B78" s="115"/>
      <c r="C78" s="117"/>
      <c r="D78" s="44"/>
      <c r="E78" s="44"/>
      <c r="F78" s="111"/>
      <c r="G78" s="225"/>
      <c r="H78" s="198"/>
      <c r="I78"/>
      <c r="J78"/>
      <c r="K78"/>
    </row>
    <row r="79" spans="1:11" x14ac:dyDescent="0.2">
      <c r="A79" s="91" t="s">
        <v>60</v>
      </c>
      <c r="B79" s="115">
        <v>112</v>
      </c>
      <c r="C79" s="117">
        <f>307141*12</f>
        <v>3685692</v>
      </c>
      <c r="D79" s="44"/>
      <c r="E79" s="44">
        <v>1.4</v>
      </c>
      <c r="F79" s="159">
        <f>E79*118/100</f>
        <v>1.6519999999999999</v>
      </c>
      <c r="G79" s="225">
        <f t="shared" si="7"/>
        <v>8183297719.2959995</v>
      </c>
      <c r="H79" s="198"/>
      <c r="I79"/>
      <c r="J79"/>
      <c r="K79"/>
    </row>
    <row r="80" spans="1:11" x14ac:dyDescent="0.2">
      <c r="A80" s="91"/>
      <c r="B80" s="115"/>
      <c r="C80" s="117"/>
      <c r="D80" s="44"/>
      <c r="E80" s="44"/>
      <c r="F80" s="111"/>
      <c r="G80" s="225"/>
      <c r="H80" s="198"/>
      <c r="I80"/>
      <c r="J80"/>
      <c r="K80"/>
    </row>
    <row r="81" spans="1:14" x14ac:dyDescent="0.2">
      <c r="A81" s="118" t="s">
        <v>61</v>
      </c>
      <c r="B81" s="115"/>
      <c r="C81" s="117"/>
      <c r="D81" s="44"/>
      <c r="E81" s="44"/>
      <c r="F81" s="111"/>
      <c r="G81" s="225"/>
      <c r="H81" s="198"/>
      <c r="I81"/>
      <c r="J81"/>
      <c r="K81"/>
    </row>
    <row r="82" spans="1:14" x14ac:dyDescent="0.2">
      <c r="A82" s="91" t="s">
        <v>62</v>
      </c>
      <c r="B82" s="115">
        <v>29</v>
      </c>
      <c r="C82" s="117">
        <f>51875*12</f>
        <v>622500</v>
      </c>
      <c r="D82" s="44"/>
      <c r="E82" s="44">
        <v>1.4</v>
      </c>
      <c r="F82" s="159">
        <f>E82*118/100</f>
        <v>1.6519999999999999</v>
      </c>
      <c r="G82" s="225">
        <f t="shared" si="7"/>
        <v>357872760</v>
      </c>
      <c r="H82" s="199"/>
      <c r="I82"/>
      <c r="J82"/>
      <c r="K82"/>
    </row>
    <row r="83" spans="1:14" x14ac:dyDescent="0.2">
      <c r="A83" s="91"/>
      <c r="B83" s="115"/>
      <c r="C83" s="116"/>
      <c r="D83" s="44"/>
      <c r="E83" s="44"/>
      <c r="F83" s="111"/>
      <c r="G83" s="225"/>
      <c r="H83" s="199"/>
      <c r="I83"/>
      <c r="J83"/>
      <c r="K83"/>
    </row>
    <row r="84" spans="1:14" x14ac:dyDescent="0.2">
      <c r="A84" s="46" t="s">
        <v>33</v>
      </c>
      <c r="B84" s="115"/>
      <c r="C84" s="116"/>
      <c r="D84" s="44"/>
      <c r="E84" s="44"/>
      <c r="F84" s="111"/>
      <c r="G84" s="225"/>
      <c r="H84" s="199"/>
      <c r="I84"/>
      <c r="J84"/>
      <c r="K84"/>
    </row>
    <row r="85" spans="1:14" x14ac:dyDescent="0.2">
      <c r="A85" s="91" t="s">
        <v>88</v>
      </c>
      <c r="B85" s="115">
        <v>31</v>
      </c>
      <c r="C85" s="116">
        <v>696398</v>
      </c>
      <c r="D85" s="44"/>
      <c r="E85" s="49">
        <v>0.98</v>
      </c>
      <c r="F85" s="159">
        <f>E85*115/100</f>
        <v>1.127</v>
      </c>
      <c r="G85" s="225">
        <f t="shared" si="7"/>
        <v>291960683.11199999</v>
      </c>
      <c r="H85" s="198"/>
      <c r="I85"/>
      <c r="J85"/>
      <c r="K85"/>
    </row>
    <row r="86" spans="1:14" x14ac:dyDescent="0.2">
      <c r="A86" s="91"/>
      <c r="B86" s="72"/>
      <c r="C86" s="73"/>
      <c r="D86" s="71"/>
      <c r="E86" s="45"/>
      <c r="F86" s="111"/>
      <c r="G86" s="225"/>
      <c r="H86" s="198">
        <v>1.1000000000000001</v>
      </c>
      <c r="I86"/>
      <c r="J86"/>
      <c r="K86"/>
      <c r="M86" s="5"/>
      <c r="N86" s="5"/>
    </row>
    <row r="87" spans="1:14" x14ac:dyDescent="0.2">
      <c r="A87" s="18" t="s">
        <v>11</v>
      </c>
      <c r="B87" s="72"/>
      <c r="C87" s="73"/>
      <c r="D87" s="43"/>
      <c r="E87" s="45"/>
      <c r="F87" s="111"/>
      <c r="G87" s="225"/>
      <c r="H87" s="198"/>
      <c r="I87"/>
      <c r="J87"/>
      <c r="K87"/>
      <c r="L87" s="5"/>
    </row>
    <row r="88" spans="1:14" x14ac:dyDescent="0.2">
      <c r="A88" s="91" t="s">
        <v>50</v>
      </c>
      <c r="B88" s="74">
        <v>0</v>
      </c>
      <c r="C88" s="75"/>
      <c r="D88" s="92"/>
      <c r="E88" s="53">
        <v>1.23</v>
      </c>
      <c r="F88" s="111">
        <f t="shared" ref="F88:F91" si="9">E88*113.07/100</f>
        <v>1.3907609999999999</v>
      </c>
      <c r="G88" s="225"/>
      <c r="H88"/>
      <c r="I88"/>
      <c r="J88"/>
      <c r="K88"/>
      <c r="L88" s="5"/>
    </row>
    <row r="89" spans="1:14" x14ac:dyDescent="0.2">
      <c r="B89" s="74"/>
      <c r="C89" s="75">
        <v>0</v>
      </c>
      <c r="D89" s="50"/>
      <c r="E89" s="51"/>
      <c r="F89" s="111"/>
      <c r="G89" s="225"/>
      <c r="H89"/>
      <c r="I89"/>
      <c r="J89"/>
      <c r="K89"/>
    </row>
    <row r="90" spans="1:14" x14ac:dyDescent="0.2">
      <c r="A90" s="52" t="s">
        <v>13</v>
      </c>
      <c r="B90" s="74"/>
      <c r="C90" s="75"/>
      <c r="D90" s="50"/>
      <c r="E90" s="53"/>
      <c r="F90" s="111"/>
      <c r="G90" s="225"/>
      <c r="H90"/>
      <c r="I90"/>
      <c r="J90"/>
      <c r="K90"/>
    </row>
    <row r="91" spans="1:14" ht="13.5" thickBot="1" x14ac:dyDescent="0.25">
      <c r="A91" s="91" t="s">
        <v>50</v>
      </c>
      <c r="B91" s="54">
        <v>3</v>
      </c>
      <c r="C91" s="55">
        <v>404096</v>
      </c>
      <c r="D91" s="56"/>
      <c r="E91" s="57">
        <v>0.97</v>
      </c>
      <c r="F91" s="226">
        <f t="shared" si="9"/>
        <v>1.0967789999999999</v>
      </c>
      <c r="G91" s="227">
        <f t="shared" si="7"/>
        <v>15955344.244223999</v>
      </c>
      <c r="H91"/>
      <c r="I91"/>
      <c r="J91"/>
      <c r="K91"/>
    </row>
    <row r="92" spans="1:14" ht="13.5" thickBot="1" x14ac:dyDescent="0.25">
      <c r="A92" s="12"/>
      <c r="F92" s="58"/>
      <c r="G92" s="228">
        <f>SUM(G47:G91)</f>
        <v>13405542894.945913</v>
      </c>
      <c r="H92" s="80"/>
      <c r="I92" s="80"/>
      <c r="J92" s="66"/>
      <c r="K92" s="16"/>
    </row>
    <row r="93" spans="1:14" x14ac:dyDescent="0.2">
      <c r="A93" s="12"/>
      <c r="F93" s="58"/>
      <c r="G93" s="58"/>
      <c r="H93" s="80"/>
      <c r="I93" s="80"/>
      <c r="J93" s="66"/>
      <c r="K93" s="16"/>
    </row>
    <row r="94" spans="1:14" x14ac:dyDescent="0.2">
      <c r="A94" s="12"/>
      <c r="F94" s="58"/>
      <c r="G94" s="58"/>
      <c r="H94" s="80"/>
      <c r="I94" s="80"/>
      <c r="J94" s="66"/>
      <c r="K94" s="16"/>
    </row>
    <row r="95" spans="1:14" ht="13.5" thickBot="1" x14ac:dyDescent="0.25">
      <c r="A95" s="12"/>
      <c r="B95" s="9"/>
      <c r="C95" s="9"/>
      <c r="D95" s="2"/>
      <c r="E95" s="59"/>
      <c r="F95" s="10"/>
      <c r="G95" s="10"/>
      <c r="H95" s="10"/>
      <c r="I95" s="10"/>
      <c r="J95" s="67"/>
      <c r="M95" s="5"/>
    </row>
    <row r="96" spans="1:14" ht="23.25" thickBot="1" x14ac:dyDescent="0.25">
      <c r="A96" s="12"/>
      <c r="B96" t="s">
        <v>92</v>
      </c>
      <c r="C96" s="9"/>
      <c r="D96" s="2"/>
      <c r="E96" s="59"/>
      <c r="F96" s="229" t="s">
        <v>94</v>
      </c>
      <c r="G96" s="229" t="s">
        <v>107</v>
      </c>
      <c r="H96" s="231" t="s">
        <v>64</v>
      </c>
      <c r="I96" s="10"/>
      <c r="J96" s="67"/>
      <c r="M96" s="5"/>
    </row>
    <row r="97" spans="1:20" x14ac:dyDescent="0.2">
      <c r="A97" s="12"/>
      <c r="B97" t="s">
        <v>93</v>
      </c>
      <c r="C97"/>
      <c r="D97" s="2"/>
      <c r="E97" s="59"/>
      <c r="F97" s="10">
        <v>0.64</v>
      </c>
      <c r="G97" s="10">
        <v>0.7</v>
      </c>
      <c r="H97" s="10">
        <f>G97*113.07/100</f>
        <v>0.79148999999999992</v>
      </c>
      <c r="I97" s="10"/>
      <c r="J97" s="67"/>
      <c r="M97" s="5"/>
    </row>
    <row r="98" spans="1:20" ht="13.5" thickBot="1" x14ac:dyDescent="0.25">
      <c r="A98" s="94"/>
      <c r="B98" s="93"/>
      <c r="C98" s="93"/>
      <c r="D98" s="8"/>
      <c r="E98" s="160"/>
      <c r="F98" s="160"/>
      <c r="G98" s="161"/>
      <c r="H98" s="162"/>
      <c r="I98"/>
      <c r="J98" s="160"/>
      <c r="K98" s="160"/>
      <c r="R98" s="13"/>
      <c r="S98" s="13"/>
      <c r="T98" s="13"/>
    </row>
    <row r="99" spans="1:20" ht="13.5" thickBot="1" x14ac:dyDescent="0.25">
      <c r="A99" s="28" t="s">
        <v>79</v>
      </c>
      <c r="B99" s="93"/>
      <c r="C99" s="93"/>
      <c r="D99" s="163"/>
      <c r="E99" s="164"/>
      <c r="F99" s="329" t="s">
        <v>80</v>
      </c>
      <c r="G99" s="330"/>
      <c r="H99" s="8"/>
      <c r="I99"/>
      <c r="J99" s="192"/>
      <c r="K99" s="192"/>
      <c r="R99" s="13"/>
      <c r="S99" s="13"/>
      <c r="T99" s="13"/>
    </row>
    <row r="100" spans="1:20" ht="13.5" thickBot="1" x14ac:dyDescent="0.25">
      <c r="A100" s="94"/>
      <c r="B100" s="93"/>
      <c r="C100" s="93"/>
      <c r="D100" s="165" t="s">
        <v>81</v>
      </c>
      <c r="E100" s="125" t="s">
        <v>82</v>
      </c>
      <c r="F100" s="125" t="s">
        <v>83</v>
      </c>
      <c r="G100" s="230" t="s">
        <v>64</v>
      </c>
      <c r="H100" s="125" t="s">
        <v>84</v>
      </c>
      <c r="I100" s="8"/>
      <c r="J100" s="1"/>
      <c r="K100" s="1"/>
      <c r="R100" s="13"/>
      <c r="S100" s="13"/>
      <c r="T100" s="13"/>
    </row>
    <row r="101" spans="1:20" ht="17.25" customHeight="1" thickBot="1" x14ac:dyDescent="0.25">
      <c r="A101" s="327" t="s">
        <v>85</v>
      </c>
      <c r="B101" s="327"/>
      <c r="C101" s="93"/>
      <c r="D101" s="166">
        <f>1705*12</f>
        <v>20460</v>
      </c>
      <c r="E101" s="167">
        <v>139.06</v>
      </c>
      <c r="F101" s="168">
        <v>151.36022799999998</v>
      </c>
      <c r="G101" s="167">
        <f>F101*113.07/100</f>
        <v>171.14300979959998</v>
      </c>
      <c r="H101" s="131">
        <f>G101*D101</f>
        <v>3501585.9804998157</v>
      </c>
      <c r="I101" s="169"/>
      <c r="J101" s="193"/>
      <c r="K101" s="183"/>
      <c r="R101" s="170"/>
      <c r="S101" s="94"/>
      <c r="T101" s="13"/>
    </row>
    <row r="102" spans="1:20" ht="15" customHeight="1" thickBot="1" x14ac:dyDescent="0.25">
      <c r="A102" s="327" t="s">
        <v>86</v>
      </c>
      <c r="B102" s="327"/>
      <c r="C102" s="93"/>
      <c r="D102" s="171">
        <f>2735*12</f>
        <v>32820</v>
      </c>
      <c r="E102" s="172">
        <v>139.06</v>
      </c>
      <c r="F102" s="173">
        <v>151.71280000000002</v>
      </c>
      <c r="G102" s="167">
        <f>F102*113.07/100</f>
        <v>171.54166296</v>
      </c>
      <c r="H102" s="131">
        <f>G102*D102</f>
        <v>5629997.3783472003</v>
      </c>
      <c r="I102" s="169"/>
      <c r="J102" s="193"/>
      <c r="K102" s="183"/>
      <c r="R102" s="170"/>
      <c r="S102" s="94"/>
      <c r="T102" s="13"/>
    </row>
    <row r="103" spans="1:20" ht="13.5" thickBot="1" x14ac:dyDescent="0.25">
      <c r="A103" s="327" t="s">
        <v>87</v>
      </c>
      <c r="B103" s="327"/>
      <c r="C103" s="93"/>
      <c r="D103" s="174">
        <f>173*12</f>
        <v>2076</v>
      </c>
      <c r="E103" s="175">
        <v>120.43</v>
      </c>
      <c r="F103" s="176">
        <v>131.41319999999999</v>
      </c>
      <c r="G103" s="167">
        <f>F103*113.07/100</f>
        <v>148.58890523999997</v>
      </c>
      <c r="H103" s="131">
        <f>G103*D103</f>
        <v>308470.56727823993</v>
      </c>
      <c r="I103" s="169"/>
      <c r="J103" s="193"/>
      <c r="K103" s="183"/>
      <c r="R103" s="170"/>
      <c r="S103" s="94"/>
      <c r="T103" s="13"/>
    </row>
    <row r="104" spans="1:20" ht="13.5" thickBot="1" x14ac:dyDescent="0.25">
      <c r="A104" s="94"/>
      <c r="B104" s="93"/>
      <c r="C104" s="93"/>
      <c r="D104" s="93"/>
      <c r="E104" s="177"/>
      <c r="F104" s="81"/>
      <c r="G104" s="178"/>
      <c r="H104" s="139" t="s">
        <v>67</v>
      </c>
      <c r="I104" s="179">
        <f>H101+H103</f>
        <v>3810056.5477780555</v>
      </c>
      <c r="J104" s="160"/>
      <c r="K104" s="160"/>
      <c r="R104" s="94"/>
      <c r="S104" s="170"/>
      <c r="T104" s="13"/>
    </row>
    <row r="105" spans="1:20" x14ac:dyDescent="0.2">
      <c r="A105" s="12"/>
      <c r="B105" s="9"/>
      <c r="C105" s="9"/>
      <c r="D105" s="9"/>
      <c r="E105"/>
      <c r="F105"/>
      <c r="G105"/>
      <c r="H105"/>
      <c r="I105"/>
      <c r="J105" s="66"/>
      <c r="K105" s="3"/>
      <c r="R105" s="5"/>
    </row>
    <row r="106" spans="1:20" ht="13.5" thickBot="1" x14ac:dyDescent="0.25">
      <c r="A106" s="28" t="s">
        <v>14</v>
      </c>
      <c r="B106" s="93"/>
      <c r="C106" s="93"/>
      <c r="D106" s="93"/>
      <c r="E106" s="121"/>
      <c r="F106" s="120"/>
      <c r="G106" s="122"/>
      <c r="H106" s="93"/>
      <c r="I106"/>
      <c r="J106" s="119"/>
      <c r="K106" s="119"/>
    </row>
    <row r="107" spans="1:20" ht="23.25" thickBot="1" x14ac:dyDescent="0.25">
      <c r="A107" s="94"/>
      <c r="B107" s="93"/>
      <c r="C107" s="93"/>
      <c r="D107" s="123" t="s">
        <v>3</v>
      </c>
      <c r="E107" s="124" t="s">
        <v>63</v>
      </c>
      <c r="F107" s="124" t="s">
        <v>54</v>
      </c>
      <c r="G107" s="125" t="s">
        <v>64</v>
      </c>
      <c r="H107" s="126" t="s">
        <v>65</v>
      </c>
      <c r="I107" s="126" t="s">
        <v>66</v>
      </c>
      <c r="J107" s="194"/>
      <c r="K107" s="195"/>
    </row>
    <row r="108" spans="1:20" ht="13.5" thickBot="1" x14ac:dyDescent="0.25">
      <c r="A108" s="94" t="s">
        <v>15</v>
      </c>
      <c r="B108" s="93"/>
      <c r="C108" s="93"/>
      <c r="D108" s="127">
        <v>231</v>
      </c>
      <c r="E108" s="128">
        <v>553.15769017287971</v>
      </c>
      <c r="F108" s="129">
        <v>600</v>
      </c>
      <c r="G108" s="128">
        <f>F108*113.07/100</f>
        <v>678.42</v>
      </c>
      <c r="H108" s="130">
        <f>G108*D108*12</f>
        <v>1880580.2399999998</v>
      </c>
      <c r="I108" s="131"/>
      <c r="J108" s="196"/>
      <c r="K108" s="197"/>
    </row>
    <row r="109" spans="1:20" ht="13.5" thickBot="1" x14ac:dyDescent="0.25">
      <c r="A109" s="94" t="s">
        <v>8</v>
      </c>
      <c r="B109" s="93"/>
      <c r="C109" s="93"/>
      <c r="D109" s="132">
        <v>0</v>
      </c>
      <c r="E109" s="133">
        <v>553.15769017287971</v>
      </c>
      <c r="F109" s="137">
        <v>790</v>
      </c>
      <c r="G109" s="128">
        <f>F109*113.07/100</f>
        <v>893.25299999999993</v>
      </c>
      <c r="H109" s="134">
        <f>G109*D109*12</f>
        <v>0</v>
      </c>
      <c r="I109" s="131"/>
      <c r="J109" s="196"/>
      <c r="K109" s="197"/>
    </row>
    <row r="110" spans="1:20" ht="13.5" thickBot="1" x14ac:dyDescent="0.25">
      <c r="A110" s="94" t="s">
        <v>10</v>
      </c>
      <c r="B110" s="93"/>
      <c r="C110" s="93"/>
      <c r="D110" s="135">
        <v>9</v>
      </c>
      <c r="E110" s="136">
        <v>727.27139209359109</v>
      </c>
      <c r="F110" s="137">
        <v>790</v>
      </c>
      <c r="G110" s="128">
        <f>F110*113.07/100</f>
        <v>893.25299999999993</v>
      </c>
      <c r="H110" s="138">
        <f>G110*D110*12</f>
        <v>96471.323999999993</v>
      </c>
      <c r="I110" s="131"/>
      <c r="J110" s="196"/>
      <c r="K110" s="197"/>
    </row>
    <row r="111" spans="1:20" ht="13.5" thickBot="1" x14ac:dyDescent="0.25">
      <c r="A111" s="94"/>
      <c r="B111" s="93"/>
      <c r="C111" s="93"/>
      <c r="D111" s="93"/>
      <c r="E111" s="139"/>
      <c r="F111" s="139"/>
      <c r="G111" s="139"/>
      <c r="H111" s="139" t="s">
        <v>67</v>
      </c>
      <c r="I111" s="140">
        <f>H110+H109+H108</f>
        <v>1977051.5639999998</v>
      </c>
      <c r="J111" s="139"/>
      <c r="K111" s="139"/>
    </row>
    <row r="112" spans="1:20" ht="14.25" thickTop="1" thickBot="1" x14ac:dyDescent="0.25">
      <c r="A112" s="60"/>
      <c r="B112" s="61"/>
      <c r="C112" s="93"/>
      <c r="D112" s="93"/>
      <c r="E112" s="93"/>
      <c r="F112" s="93"/>
      <c r="G112" s="93"/>
      <c r="H112" s="122"/>
      <c r="I112" s="141"/>
      <c r="J112" s="93"/>
      <c r="K112" s="93"/>
    </row>
    <row r="113" spans="1:15" ht="14.25" thickTop="1" thickBot="1" x14ac:dyDescent="0.25">
      <c r="A113" s="94"/>
      <c r="B113" s="93"/>
      <c r="C113" s="93"/>
      <c r="D113" s="93"/>
      <c r="E113" s="93"/>
      <c r="F113" s="93"/>
      <c r="G113" s="93"/>
      <c r="H113" s="142" t="s">
        <v>67</v>
      </c>
      <c r="I113" s="143">
        <f>P40+O85+P95+I111</f>
        <v>1977051.5639999998</v>
      </c>
      <c r="J113" s="93"/>
      <c r="K113" s="93"/>
    </row>
    <row r="114" spans="1:15" ht="14.25" thickTop="1" thickBot="1" x14ac:dyDescent="0.25">
      <c r="A114" s="94"/>
      <c r="B114" s="93"/>
      <c r="C114" s="93"/>
      <c r="D114" s="93"/>
      <c r="E114" s="93"/>
      <c r="F114" s="93"/>
      <c r="G114" s="93"/>
      <c r="H114" s="144" t="s">
        <v>68</v>
      </c>
      <c r="I114" s="145">
        <f>I113*1.15</f>
        <v>2273609.2985999994</v>
      </c>
      <c r="J114" s="93"/>
      <c r="K114" s="93"/>
    </row>
    <row r="115" spans="1:15" ht="13.5" thickBot="1" x14ac:dyDescent="0.25">
      <c r="A115" s="94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180"/>
      <c r="O115" s="146"/>
    </row>
    <row r="116" spans="1:15" ht="23.25" thickBot="1" x14ac:dyDescent="0.25">
      <c r="A116" s="94"/>
      <c r="B116" s="93"/>
      <c r="C116" s="93"/>
      <c r="D116" s="93"/>
      <c r="E116" s="147" t="s">
        <v>4</v>
      </c>
      <c r="F116" s="126" t="s">
        <v>69</v>
      </c>
      <c r="G116" s="148" t="s">
        <v>70</v>
      </c>
      <c r="I116" s="181"/>
      <c r="J116" s="181"/>
      <c r="K116" s="181"/>
      <c r="L116" s="181"/>
      <c r="M116" s="181"/>
      <c r="N116" s="182"/>
      <c r="O116" s="13"/>
    </row>
    <row r="117" spans="1:15" x14ac:dyDescent="0.2">
      <c r="A117" s="28" t="s">
        <v>16</v>
      </c>
      <c r="B117" s="11"/>
      <c r="C117" s="11"/>
      <c r="D117" s="93"/>
      <c r="E117" s="149">
        <v>188.73061999999999</v>
      </c>
      <c r="F117" s="150">
        <v>550</v>
      </c>
      <c r="G117" s="187">
        <f>F117*113.07/100</f>
        <v>621.88499999999988</v>
      </c>
      <c r="I117" s="186"/>
      <c r="J117" s="160"/>
      <c r="K117" s="160"/>
      <c r="L117" s="183"/>
      <c r="M117" s="184"/>
      <c r="N117" s="185"/>
      <c r="O117" s="93"/>
    </row>
    <row r="118" spans="1:15" x14ac:dyDescent="0.2">
      <c r="A118" s="94"/>
      <c r="B118" s="93"/>
      <c r="C118" s="93"/>
      <c r="D118" s="93"/>
      <c r="E118" s="151"/>
      <c r="F118" s="150"/>
      <c r="G118" s="187"/>
      <c r="I118" s="186"/>
      <c r="J118" s="160"/>
      <c r="K118" s="160"/>
      <c r="L118" s="183"/>
      <c r="M118" s="184"/>
      <c r="N118" s="185"/>
      <c r="O118" s="93"/>
    </row>
    <row r="119" spans="1:15" x14ac:dyDescent="0.2">
      <c r="A119" s="28" t="s">
        <v>17</v>
      </c>
      <c r="B119" s="93"/>
      <c r="C119" s="93"/>
      <c r="D119" s="93"/>
      <c r="E119" s="151">
        <v>57.351839999999996</v>
      </c>
      <c r="F119" s="150">
        <v>200</v>
      </c>
      <c r="G119" s="187">
        <f>F119*113.07/100</f>
        <v>226.14</v>
      </c>
      <c r="I119" s="186"/>
      <c r="J119" s="160"/>
      <c r="K119" s="160"/>
      <c r="L119" s="183"/>
      <c r="M119" s="184"/>
      <c r="N119" s="185"/>
      <c r="O119" s="93"/>
    </row>
    <row r="120" spans="1:15" ht="13.5" thickBot="1" x14ac:dyDescent="0.25">
      <c r="A120" s="94"/>
      <c r="B120" s="62" t="s">
        <v>2</v>
      </c>
      <c r="C120" s="93"/>
      <c r="D120" s="93"/>
      <c r="E120" s="151"/>
      <c r="F120" s="150"/>
      <c r="G120" s="187"/>
      <c r="I120" s="186"/>
      <c r="J120" s="160"/>
      <c r="K120" s="160"/>
      <c r="L120" s="183"/>
      <c r="M120" s="184"/>
      <c r="N120" s="185"/>
      <c r="O120" s="93"/>
    </row>
    <row r="121" spans="1:15" x14ac:dyDescent="0.2">
      <c r="A121" s="28" t="s">
        <v>18</v>
      </c>
      <c r="B121" s="152">
        <v>1</v>
      </c>
      <c r="C121" s="93"/>
      <c r="D121" s="93"/>
      <c r="E121" s="151">
        <v>459.54999999999995</v>
      </c>
      <c r="F121" s="150">
        <v>1500</v>
      </c>
      <c r="G121" s="187">
        <f>F121*113.07/100</f>
        <v>1696.05</v>
      </c>
      <c r="I121" s="186"/>
      <c r="J121" s="160"/>
      <c r="K121" s="160"/>
      <c r="L121" s="183"/>
      <c r="M121" s="184"/>
      <c r="N121" s="185"/>
      <c r="O121" s="93"/>
    </row>
    <row r="122" spans="1:15" ht="13.5" thickBot="1" x14ac:dyDescent="0.25">
      <c r="A122" s="94"/>
      <c r="B122" s="153">
        <v>3</v>
      </c>
      <c r="C122" s="93"/>
      <c r="D122" s="93"/>
      <c r="E122" s="151">
        <v>656.5</v>
      </c>
      <c r="F122" s="150">
        <v>1920</v>
      </c>
      <c r="G122" s="187">
        <f>F122*113.07/100</f>
        <v>2170.944</v>
      </c>
      <c r="I122" s="186"/>
      <c r="J122" s="160"/>
      <c r="K122" s="160"/>
      <c r="L122" s="183"/>
      <c r="M122" s="184"/>
      <c r="N122" s="185"/>
      <c r="O122" s="93"/>
    </row>
    <row r="123" spans="1:15" x14ac:dyDescent="0.2">
      <c r="A123" s="94"/>
      <c r="B123" s="154"/>
      <c r="C123" s="93"/>
      <c r="D123" s="93"/>
      <c r="E123" s="151"/>
      <c r="F123" s="150"/>
      <c r="G123" s="187"/>
      <c r="I123" s="186"/>
      <c r="J123" s="160"/>
      <c r="K123" s="160"/>
      <c r="L123" s="183"/>
      <c r="M123" s="184"/>
      <c r="N123" s="185"/>
      <c r="O123" s="93"/>
    </row>
    <row r="124" spans="1:15" x14ac:dyDescent="0.2">
      <c r="A124" s="28" t="s">
        <v>71</v>
      </c>
      <c r="B124" s="62"/>
      <c r="C124" s="93" t="s">
        <v>72</v>
      </c>
      <c r="D124" s="93"/>
      <c r="E124" s="151">
        <v>787.8</v>
      </c>
      <c r="F124" s="150">
        <v>3030</v>
      </c>
      <c r="G124" s="187">
        <f>F124*113.07/100</f>
        <v>3426.0209999999997</v>
      </c>
      <c r="I124" s="186"/>
      <c r="J124" s="160"/>
      <c r="K124" s="160"/>
      <c r="L124" s="183"/>
      <c r="M124" s="184"/>
      <c r="N124" s="185"/>
      <c r="O124" s="11"/>
    </row>
    <row r="125" spans="1:15" x14ac:dyDescent="0.2">
      <c r="A125" s="28"/>
      <c r="B125" s="62"/>
      <c r="C125" s="93"/>
      <c r="D125" s="93"/>
      <c r="E125" s="151"/>
      <c r="F125" s="150">
        <v>0</v>
      </c>
      <c r="G125" s="187"/>
      <c r="I125" s="186"/>
      <c r="J125" s="160"/>
      <c r="K125" s="160"/>
      <c r="L125" s="183"/>
      <c r="M125" s="184"/>
      <c r="N125" s="185"/>
      <c r="O125" s="11"/>
    </row>
    <row r="126" spans="1:15" ht="13.5" thickBot="1" x14ac:dyDescent="0.25">
      <c r="A126" s="28" t="s">
        <v>19</v>
      </c>
      <c r="B126" s="62"/>
      <c r="C126" s="93"/>
      <c r="D126" s="93"/>
      <c r="E126" s="151"/>
      <c r="F126" s="150"/>
      <c r="G126" s="187"/>
      <c r="I126" s="186"/>
      <c r="J126" s="160"/>
      <c r="K126" s="160"/>
      <c r="L126" s="183"/>
      <c r="M126" s="184"/>
      <c r="N126" s="185"/>
      <c r="O126" s="11"/>
    </row>
    <row r="127" spans="1:15" x14ac:dyDescent="0.2">
      <c r="A127" s="28"/>
      <c r="B127" s="152">
        <v>1</v>
      </c>
      <c r="C127" s="93"/>
      <c r="D127" s="93"/>
      <c r="E127" s="151">
        <v>157.56</v>
      </c>
      <c r="F127" s="150">
        <v>500</v>
      </c>
      <c r="G127" s="187">
        <f>F127*113.07/100</f>
        <v>565.35</v>
      </c>
      <c r="I127" s="186"/>
      <c r="J127" s="160"/>
      <c r="K127" s="160"/>
      <c r="L127" s="183"/>
      <c r="M127" s="184"/>
      <c r="N127" s="185"/>
      <c r="O127" s="11"/>
    </row>
    <row r="128" spans="1:15" ht="13.5" thickBot="1" x14ac:dyDescent="0.25">
      <c r="A128" s="94"/>
      <c r="B128" s="153">
        <v>3</v>
      </c>
      <c r="C128" s="93"/>
      <c r="D128" s="93"/>
      <c r="E128" s="155">
        <v>262.59999999999997</v>
      </c>
      <c r="F128" s="188">
        <v>700</v>
      </c>
      <c r="G128" s="189">
        <f>F128*113.07/100</f>
        <v>791.49</v>
      </c>
      <c r="I128" s="186"/>
      <c r="J128" s="160"/>
      <c r="K128" s="160"/>
      <c r="L128" s="183"/>
      <c r="M128" s="184"/>
      <c r="N128" s="185"/>
      <c r="O128" s="93"/>
    </row>
    <row r="129" spans="1:15" ht="13.5" thickBot="1" x14ac:dyDescent="0.25">
      <c r="A129" s="94"/>
      <c r="B129" s="93"/>
      <c r="C129" s="93"/>
      <c r="D129" s="93"/>
      <c r="E129" s="93"/>
      <c r="F129" s="93"/>
      <c r="G129" s="93"/>
      <c r="H129" s="93"/>
      <c r="I129" s="8"/>
      <c r="J129" s="8"/>
      <c r="K129" s="8"/>
      <c r="L129" s="8"/>
      <c r="M129" s="93"/>
      <c r="N129" s="122"/>
      <c r="O129" s="11"/>
    </row>
    <row r="130" spans="1:15" ht="23.25" thickBot="1" x14ac:dyDescent="0.25">
      <c r="A130" s="28" t="s">
        <v>73</v>
      </c>
      <c r="B130" s="156"/>
      <c r="C130" s="157"/>
      <c r="D130" s="122"/>
      <c r="E130" s="206"/>
      <c r="F130" s="207" t="s">
        <v>69</v>
      </c>
      <c r="G130" s="208" t="s">
        <v>70</v>
      </c>
      <c r="H130" s="209"/>
      <c r="I130" s="8"/>
      <c r="J130" s="8"/>
      <c r="K130" s="8"/>
      <c r="L130" s="8"/>
      <c r="O130" s="93"/>
    </row>
    <row r="131" spans="1:15" x14ac:dyDescent="0.2">
      <c r="A131" s="28"/>
      <c r="B131" s="162"/>
      <c r="C131" s="203"/>
      <c r="D131" s="122"/>
      <c r="E131" s="204" t="s">
        <v>74</v>
      </c>
      <c r="F131" s="181"/>
      <c r="G131" s="182"/>
      <c r="H131" s="205"/>
      <c r="I131" s="190"/>
      <c r="J131" s="8"/>
      <c r="K131" s="8"/>
      <c r="L131" s="8"/>
      <c r="O131" s="93"/>
    </row>
    <row r="132" spans="1:15" x14ac:dyDescent="0.2">
      <c r="A132" s="94"/>
      <c r="E132" s="70" t="s">
        <v>75</v>
      </c>
      <c r="F132" s="200">
        <v>3000</v>
      </c>
      <c r="G132" s="201">
        <f>F132*113.07/100</f>
        <v>3392.1</v>
      </c>
      <c r="H132" s="70"/>
      <c r="I132" s="190"/>
      <c r="J132" s="8"/>
      <c r="K132" s="8"/>
      <c r="L132" s="8"/>
      <c r="O132" s="93"/>
    </row>
    <row r="133" spans="1:15" x14ac:dyDescent="0.2">
      <c r="A133" s="94"/>
      <c r="E133" s="70" t="s">
        <v>76</v>
      </c>
      <c r="F133" s="200">
        <v>6000</v>
      </c>
      <c r="G133" s="201">
        <f>F133*113.07/100</f>
        <v>6784.2</v>
      </c>
      <c r="H133" s="70"/>
      <c r="I133" s="190"/>
      <c r="J133" s="8"/>
      <c r="K133" s="8"/>
      <c r="L133" s="8"/>
      <c r="O133" s="93"/>
    </row>
    <row r="134" spans="1:15" x14ac:dyDescent="0.2">
      <c r="A134" s="94"/>
      <c r="E134" s="70" t="s">
        <v>77</v>
      </c>
      <c r="F134" s="156">
        <v>12000</v>
      </c>
      <c r="G134" s="201">
        <f>F134*113.07/100</f>
        <v>13568.4</v>
      </c>
      <c r="H134" s="49" t="s">
        <v>89</v>
      </c>
      <c r="I134" s="191"/>
      <c r="J134" s="95"/>
      <c r="K134" s="95"/>
      <c r="L134" s="95"/>
      <c r="O134" s="94"/>
    </row>
    <row r="135" spans="1:15" x14ac:dyDescent="0.2">
      <c r="A135" s="94"/>
      <c r="E135" s="49"/>
      <c r="F135" s="156"/>
      <c r="G135" s="202"/>
      <c r="H135" s="49"/>
      <c r="I135" s="191"/>
      <c r="J135" s="95"/>
      <c r="K135" s="95"/>
      <c r="L135" s="95"/>
      <c r="O135" s="94"/>
    </row>
    <row r="136" spans="1:15" x14ac:dyDescent="0.2">
      <c r="A136" s="94"/>
      <c r="E136" s="158" t="s">
        <v>49</v>
      </c>
      <c r="F136" s="156"/>
      <c r="G136" s="201">
        <f>F136*113.07/100</f>
        <v>0</v>
      </c>
      <c r="H136" s="49"/>
      <c r="I136" s="191"/>
      <c r="J136" s="95"/>
      <c r="K136" s="95"/>
      <c r="L136" s="95"/>
      <c r="O136" s="94"/>
    </row>
    <row r="137" spans="1:15" x14ac:dyDescent="0.2">
      <c r="A137" s="94"/>
      <c r="E137" s="49" t="s">
        <v>75</v>
      </c>
      <c r="F137" s="156"/>
      <c r="G137" s="201">
        <f t="shared" ref="G137:G144" si="10">F137*113.07/100</f>
        <v>0</v>
      </c>
      <c r="H137" s="49"/>
      <c r="I137" s="191"/>
      <c r="J137" s="95"/>
      <c r="K137" s="95"/>
      <c r="L137" s="95"/>
      <c r="O137" s="94"/>
    </row>
    <row r="138" spans="1:15" x14ac:dyDescent="0.2">
      <c r="A138" s="94"/>
      <c r="E138" s="49" t="s">
        <v>76</v>
      </c>
      <c r="F138" s="200">
        <v>4000</v>
      </c>
      <c r="G138" s="201">
        <f t="shared" si="10"/>
        <v>4522.8</v>
      </c>
      <c r="H138" s="49"/>
      <c r="I138" s="191"/>
      <c r="J138" s="95"/>
      <c r="K138" s="95"/>
      <c r="L138" s="95"/>
      <c r="O138" s="94"/>
    </row>
    <row r="139" spans="1:15" x14ac:dyDescent="0.2">
      <c r="A139" s="94"/>
      <c r="E139" s="49" t="s">
        <v>77</v>
      </c>
      <c r="F139" s="200">
        <v>8000</v>
      </c>
      <c r="G139" s="201">
        <f t="shared" si="10"/>
        <v>9045.6</v>
      </c>
      <c r="H139" s="49"/>
      <c r="I139" s="191"/>
      <c r="J139" s="95"/>
      <c r="K139" s="95"/>
      <c r="L139" s="95"/>
      <c r="O139" s="94"/>
    </row>
    <row r="140" spans="1:15" x14ac:dyDescent="0.2">
      <c r="A140" s="94"/>
      <c r="E140" s="49"/>
      <c r="F140" s="156">
        <v>16000</v>
      </c>
      <c r="G140" s="201">
        <f t="shared" si="10"/>
        <v>18091.2</v>
      </c>
      <c r="H140" s="49" t="s">
        <v>89</v>
      </c>
      <c r="I140" s="191"/>
      <c r="J140" s="95"/>
      <c r="K140" s="95"/>
      <c r="L140" s="95"/>
      <c r="O140" s="94"/>
    </row>
    <row r="141" spans="1:15" x14ac:dyDescent="0.2">
      <c r="A141" s="94"/>
      <c r="E141" s="158" t="s">
        <v>78</v>
      </c>
      <c r="F141" s="156"/>
      <c r="G141" s="202"/>
      <c r="H141" s="49"/>
      <c r="I141" s="191"/>
      <c r="J141" s="95"/>
      <c r="K141" s="95"/>
      <c r="L141" s="95"/>
      <c r="O141" s="94"/>
    </row>
    <row r="142" spans="1:15" x14ac:dyDescent="0.2">
      <c r="A142" s="94"/>
      <c r="E142" s="49" t="s">
        <v>75</v>
      </c>
      <c r="F142" s="200">
        <v>6000</v>
      </c>
      <c r="G142" s="201">
        <f t="shared" si="10"/>
        <v>6784.2</v>
      </c>
      <c r="H142" s="49"/>
      <c r="I142" s="191"/>
      <c r="J142" s="95"/>
      <c r="K142" s="95"/>
      <c r="L142" s="95"/>
      <c r="O142" s="94"/>
    </row>
    <row r="143" spans="1:15" x14ac:dyDescent="0.2">
      <c r="A143" s="94"/>
      <c r="E143" s="49" t="s">
        <v>76</v>
      </c>
      <c r="F143" s="200">
        <v>12000</v>
      </c>
      <c r="G143" s="201">
        <f t="shared" si="10"/>
        <v>13568.4</v>
      </c>
      <c r="H143" s="49"/>
      <c r="I143" s="191"/>
      <c r="J143" s="95"/>
      <c r="K143" s="95"/>
      <c r="L143" s="95"/>
      <c r="O143" s="94"/>
    </row>
    <row r="144" spans="1:15" x14ac:dyDescent="0.2">
      <c r="A144" s="94"/>
      <c r="E144" s="49" t="s">
        <v>77</v>
      </c>
      <c r="F144" s="156">
        <v>24000</v>
      </c>
      <c r="G144" s="201">
        <f t="shared" si="10"/>
        <v>27136.799999999999</v>
      </c>
      <c r="H144" s="49" t="s">
        <v>89</v>
      </c>
      <c r="I144" s="191"/>
      <c r="J144" s="95"/>
      <c r="K144" s="95"/>
      <c r="L144" s="95"/>
      <c r="O144" s="94"/>
    </row>
    <row r="145" spans="1:1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64"/>
      <c r="K145" s="12"/>
    </row>
    <row r="146" spans="1:1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64"/>
      <c r="K146" s="12"/>
    </row>
    <row r="147" spans="1:1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64"/>
      <c r="K147" s="12"/>
    </row>
    <row r="148" spans="1:1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64"/>
      <c r="K148" s="12"/>
    </row>
    <row r="149" spans="1:1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64"/>
      <c r="K149" s="12"/>
    </row>
    <row r="150" spans="1:1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64"/>
      <c r="K150" s="12"/>
    </row>
    <row r="151" spans="1:1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64"/>
      <c r="K151" s="12"/>
    </row>
    <row r="152" spans="1:1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64"/>
      <c r="K152" s="12"/>
    </row>
    <row r="153" spans="1:1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64"/>
      <c r="K153" s="12"/>
    </row>
    <row r="154" spans="1:1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64"/>
      <c r="K154" s="12"/>
    </row>
    <row r="155" spans="1:1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64"/>
      <c r="K155" s="12"/>
    </row>
    <row r="156" spans="1:1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64"/>
      <c r="K156" s="12"/>
    </row>
    <row r="157" spans="1:1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64"/>
      <c r="K157" s="12"/>
    </row>
    <row r="158" spans="1:1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64"/>
      <c r="K158" s="12"/>
    </row>
    <row r="159" spans="1:1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64"/>
      <c r="K159" s="12"/>
    </row>
    <row r="160" spans="1:1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64"/>
      <c r="K160" s="12"/>
    </row>
    <row r="161" spans="1:1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64"/>
      <c r="K161" s="12"/>
    </row>
    <row r="162" spans="1:1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64"/>
      <c r="K162" s="12"/>
    </row>
    <row r="163" spans="1:1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64"/>
      <c r="K163" s="12"/>
    </row>
    <row r="164" spans="1:1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64"/>
      <c r="K164" s="12"/>
    </row>
    <row r="165" spans="1:1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64"/>
      <c r="K165" s="12"/>
    </row>
    <row r="166" spans="1:1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64"/>
      <c r="K166" s="12"/>
    </row>
    <row r="167" spans="1:1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64"/>
      <c r="K167" s="12"/>
    </row>
    <row r="168" spans="1:1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64"/>
      <c r="K168" s="12"/>
    </row>
    <row r="169" spans="1:1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64"/>
      <c r="K169" s="12"/>
    </row>
    <row r="170" spans="1:1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64"/>
      <c r="K170" s="12"/>
    </row>
    <row r="171" spans="1:1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64"/>
      <c r="K171" s="12"/>
    </row>
    <row r="172" spans="1:1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64"/>
      <c r="K172" s="12"/>
    </row>
    <row r="173" spans="1:1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64"/>
      <c r="K173" s="12"/>
    </row>
    <row r="174" spans="1:1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64"/>
      <c r="K174" s="12"/>
    </row>
    <row r="175" spans="1:1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64"/>
      <c r="K175" s="12"/>
    </row>
    <row r="176" spans="1:1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64"/>
      <c r="K176" s="12"/>
    </row>
    <row r="177" spans="1:1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64"/>
      <c r="K177" s="12"/>
    </row>
    <row r="178" spans="1:1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64"/>
      <c r="K178" s="12"/>
    </row>
    <row r="179" spans="1:1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64"/>
      <c r="K179" s="12"/>
    </row>
    <row r="180" spans="1:1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64"/>
      <c r="K180" s="12"/>
    </row>
    <row r="181" spans="1:1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64"/>
      <c r="K181" s="12"/>
    </row>
    <row r="182" spans="1:1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64"/>
      <c r="K182" s="12"/>
    </row>
    <row r="183" spans="1:1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64"/>
      <c r="K183" s="12"/>
    </row>
    <row r="184" spans="1:1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64"/>
      <c r="K184" s="12"/>
    </row>
    <row r="185" spans="1:1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64"/>
      <c r="K185" s="12"/>
    </row>
    <row r="186" spans="1:1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64"/>
      <c r="K186" s="12"/>
    </row>
    <row r="187" spans="1:1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64"/>
      <c r="K187" s="12"/>
    </row>
    <row r="188" spans="1:1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64"/>
      <c r="K188" s="12"/>
    </row>
    <row r="189" spans="1:1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64"/>
      <c r="K189" s="12"/>
    </row>
    <row r="190" spans="1:1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64"/>
      <c r="K190" s="12"/>
    </row>
    <row r="191" spans="1:1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64"/>
      <c r="K191" s="12"/>
    </row>
    <row r="192" spans="1:1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64"/>
      <c r="K192" s="12"/>
    </row>
    <row r="193" spans="1:1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64"/>
      <c r="K193" s="12"/>
    </row>
    <row r="194" spans="1:1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64"/>
      <c r="K194" s="12"/>
    </row>
    <row r="195" spans="1:1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64"/>
      <c r="K195" s="12"/>
    </row>
    <row r="196" spans="1:1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64"/>
      <c r="K196" s="12"/>
    </row>
    <row r="197" spans="1:1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64"/>
      <c r="K197" s="12"/>
    </row>
    <row r="198" spans="1:1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64"/>
      <c r="K198" s="12"/>
    </row>
    <row r="199" spans="1:1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64"/>
      <c r="K199" s="12"/>
    </row>
    <row r="200" spans="1:1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64"/>
      <c r="K200" s="12"/>
    </row>
    <row r="201" spans="1:1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64"/>
      <c r="K201" s="12"/>
    </row>
    <row r="202" spans="1:1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64"/>
      <c r="K202" s="12"/>
    </row>
    <row r="203" spans="1:1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64"/>
      <c r="K203" s="12"/>
    </row>
    <row r="204" spans="1:1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64"/>
      <c r="K204" s="12"/>
    </row>
    <row r="205" spans="1:1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64"/>
      <c r="K205" s="12"/>
    </row>
    <row r="206" spans="1:1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64"/>
      <c r="K206" s="12"/>
    </row>
    <row r="207" spans="1:1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64"/>
      <c r="K207" s="12"/>
    </row>
    <row r="208" spans="1:1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64"/>
      <c r="K208" s="12"/>
    </row>
    <row r="209" spans="1:1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64"/>
      <c r="K209" s="12"/>
    </row>
    <row r="210" spans="1:1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64"/>
      <c r="K210" s="12"/>
    </row>
    <row r="211" spans="1:1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64"/>
      <c r="K211" s="12"/>
    </row>
    <row r="212" spans="1:1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64"/>
      <c r="K212" s="12"/>
    </row>
    <row r="213" spans="1:1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64"/>
      <c r="K213" s="12"/>
    </row>
    <row r="214" spans="1:1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64"/>
      <c r="K214" s="12"/>
    </row>
    <row r="215" spans="1:1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64"/>
      <c r="K215" s="12"/>
    </row>
    <row r="216" spans="1:1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64"/>
      <c r="K216" s="12"/>
    </row>
    <row r="217" spans="1:1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64"/>
      <c r="K217" s="12"/>
    </row>
    <row r="218" spans="1:1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64"/>
      <c r="K218" s="12"/>
    </row>
    <row r="219" spans="1:1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64"/>
      <c r="K219" s="12"/>
    </row>
    <row r="220" spans="1:1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64"/>
      <c r="K220" s="12"/>
    </row>
    <row r="221" spans="1:1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64"/>
      <c r="K221" s="12"/>
    </row>
    <row r="222" spans="1:1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64"/>
      <c r="K222" s="12"/>
    </row>
    <row r="223" spans="1:1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64"/>
      <c r="K223" s="12"/>
    </row>
    <row r="224" spans="1:1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64"/>
      <c r="K224" s="12"/>
    </row>
    <row r="225" spans="1:1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64"/>
      <c r="K225" s="12"/>
    </row>
    <row r="226" spans="1:1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64"/>
      <c r="K226" s="12"/>
    </row>
    <row r="227" spans="1:1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64"/>
      <c r="K227" s="12"/>
    </row>
  </sheetData>
  <mergeCells count="6">
    <mergeCell ref="A103:B103"/>
    <mergeCell ref="B1:G1"/>
    <mergeCell ref="B2:G4"/>
    <mergeCell ref="F99:G99"/>
    <mergeCell ref="A101:B101"/>
    <mergeCell ref="A102:B102"/>
  </mergeCells>
  <pageMargins left="1" right="1" top="1" bottom="1" header="0.5" footer="0.5"/>
  <pageSetup paperSize="9" scale="70" fitToHeight="0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Normal="100" zoomScaleSheetLayoutView="100" workbookViewId="0">
      <pane xSplit="1" ySplit="2" topLeftCell="B3" activePane="bottomRight" state="frozen"/>
      <selection activeCell="E65" sqref="E65"/>
      <selection pane="topRight" activeCell="E65" sqref="E65"/>
      <selection pane="bottomLeft" activeCell="E65" sqref="E65"/>
      <selection pane="bottomRight" activeCell="F2" sqref="F2"/>
    </sheetView>
  </sheetViews>
  <sheetFormatPr defaultRowHeight="12.75" x14ac:dyDescent="0.2"/>
  <cols>
    <col min="2" max="2" width="23.42578125" bestFit="1" customWidth="1"/>
    <col min="3" max="3" width="16.140625" customWidth="1"/>
    <col min="4" max="4" width="18.28515625" customWidth="1"/>
    <col min="5" max="5" width="17.85546875" customWidth="1"/>
    <col min="6" max="6" width="14.7109375" customWidth="1"/>
  </cols>
  <sheetData>
    <row r="1" spans="1:7" ht="13.5" thickBot="1" x14ac:dyDescent="0.25">
      <c r="A1" s="252"/>
      <c r="B1" s="252"/>
      <c r="C1" s="252"/>
      <c r="D1" s="252"/>
      <c r="E1" s="252"/>
      <c r="F1" s="252"/>
      <c r="G1" s="252"/>
    </row>
    <row r="2" spans="1:7" ht="34.5" thickBot="1" x14ac:dyDescent="0.25">
      <c r="A2" s="252"/>
      <c r="B2" s="236"/>
      <c r="C2" s="232" t="s">
        <v>30</v>
      </c>
      <c r="D2" s="233" t="s">
        <v>12</v>
      </c>
      <c r="E2" s="234" t="s">
        <v>25</v>
      </c>
      <c r="F2" s="235" t="s">
        <v>57</v>
      </c>
      <c r="G2" s="252"/>
    </row>
    <row r="3" spans="1:7" ht="13.5" thickBot="1" x14ac:dyDescent="0.25">
      <c r="A3" s="252"/>
      <c r="B3" s="273"/>
      <c r="C3" s="274"/>
      <c r="D3" s="275"/>
      <c r="E3" s="276"/>
      <c r="F3" s="277"/>
      <c r="G3" s="252"/>
    </row>
    <row r="4" spans="1:7" ht="13.5" thickBot="1" x14ac:dyDescent="0.25">
      <c r="A4" s="252"/>
      <c r="B4" s="331" t="s">
        <v>99</v>
      </c>
      <c r="C4" s="332"/>
      <c r="D4" s="332"/>
      <c r="E4" s="332"/>
      <c r="F4" s="333"/>
      <c r="G4" s="252"/>
    </row>
    <row r="5" spans="1:7" ht="12" customHeight="1" x14ac:dyDescent="0.2">
      <c r="A5" s="252"/>
      <c r="B5" s="237" t="s">
        <v>21</v>
      </c>
      <c r="C5" s="238">
        <v>368</v>
      </c>
      <c r="D5" s="238">
        <v>50</v>
      </c>
      <c r="E5" s="239" t="s">
        <v>26</v>
      </c>
      <c r="F5" s="240">
        <v>1.0176299999999998</v>
      </c>
      <c r="G5" s="252"/>
    </row>
    <row r="6" spans="1:7" x14ac:dyDescent="0.2">
      <c r="A6" s="252"/>
      <c r="B6" s="241" t="s">
        <v>22</v>
      </c>
      <c r="C6" s="242">
        <v>320</v>
      </c>
      <c r="D6" s="243">
        <v>299</v>
      </c>
      <c r="E6" s="244" t="s">
        <v>27</v>
      </c>
      <c r="F6" s="245">
        <v>1.3342259999999999</v>
      </c>
      <c r="G6" s="252"/>
    </row>
    <row r="7" spans="1:7" x14ac:dyDescent="0.2">
      <c r="A7" s="252"/>
      <c r="B7" s="241" t="s">
        <v>23</v>
      </c>
      <c r="C7" s="242">
        <v>276</v>
      </c>
      <c r="D7" s="243">
        <v>649</v>
      </c>
      <c r="E7" s="246" t="s">
        <v>28</v>
      </c>
      <c r="F7" s="245">
        <v>1.662129</v>
      </c>
      <c r="G7" s="252"/>
    </row>
    <row r="8" spans="1:7" x14ac:dyDescent="0.2">
      <c r="A8" s="252"/>
      <c r="B8" s="241" t="s">
        <v>24</v>
      </c>
      <c r="C8" s="242">
        <v>220</v>
      </c>
      <c r="D8" s="243">
        <v>513</v>
      </c>
      <c r="E8" s="246" t="s">
        <v>29</v>
      </c>
      <c r="F8" s="245">
        <v>1.990032</v>
      </c>
      <c r="G8" s="252"/>
    </row>
    <row r="9" spans="1:7" ht="13.5" thickBot="1" x14ac:dyDescent="0.25">
      <c r="A9" s="252"/>
      <c r="B9" s="288" t="s">
        <v>98</v>
      </c>
      <c r="C9" s="248"/>
      <c r="D9" s="249"/>
      <c r="E9" s="250"/>
      <c r="F9" s="251">
        <f>'2018-2019'!F9</f>
        <v>189.58647539564416</v>
      </c>
      <c r="G9" s="252"/>
    </row>
    <row r="10" spans="1:7" ht="13.5" thickBot="1" x14ac:dyDescent="0.25">
      <c r="A10" s="252"/>
      <c r="B10" s="253"/>
      <c r="C10" s="254"/>
      <c r="D10" s="255"/>
      <c r="E10" s="256"/>
      <c r="F10" s="257"/>
      <c r="G10" s="252"/>
    </row>
    <row r="11" spans="1:7" ht="13.5" thickBot="1" x14ac:dyDescent="0.25">
      <c r="A11" s="252"/>
      <c r="B11" s="331" t="s">
        <v>105</v>
      </c>
      <c r="C11" s="332"/>
      <c r="D11" s="332"/>
      <c r="E11" s="332"/>
      <c r="F11" s="333"/>
      <c r="G11" s="252"/>
    </row>
    <row r="12" spans="1:7" ht="12" customHeight="1" x14ac:dyDescent="0.2">
      <c r="A12" s="252"/>
      <c r="B12" s="237" t="s">
        <v>21</v>
      </c>
      <c r="C12" s="238">
        <v>368</v>
      </c>
      <c r="D12" s="238">
        <v>50</v>
      </c>
      <c r="E12" s="239" t="s">
        <v>26</v>
      </c>
      <c r="F12" s="240">
        <v>1.0176299999999998</v>
      </c>
      <c r="G12" s="252"/>
    </row>
    <row r="13" spans="1:7" x14ac:dyDescent="0.2">
      <c r="A13" s="252"/>
      <c r="B13" s="241" t="s">
        <v>22</v>
      </c>
      <c r="C13" s="242">
        <v>320</v>
      </c>
      <c r="D13" s="243">
        <v>299</v>
      </c>
      <c r="E13" s="244" t="s">
        <v>27</v>
      </c>
      <c r="F13" s="245">
        <v>1.3342259999999999</v>
      </c>
      <c r="G13" s="252"/>
    </row>
    <row r="14" spans="1:7" x14ac:dyDescent="0.2">
      <c r="A14" s="252"/>
      <c r="B14" s="241" t="s">
        <v>23</v>
      </c>
      <c r="C14" s="242">
        <v>276</v>
      </c>
      <c r="D14" s="243">
        <v>649</v>
      </c>
      <c r="E14" s="246" t="s">
        <v>28</v>
      </c>
      <c r="F14" s="245">
        <v>1.662129</v>
      </c>
      <c r="G14" s="252"/>
    </row>
    <row r="15" spans="1:7" x14ac:dyDescent="0.2">
      <c r="A15" s="252"/>
      <c r="B15" s="241" t="s">
        <v>24</v>
      </c>
      <c r="C15" s="242">
        <v>220</v>
      </c>
      <c r="D15" s="243">
        <v>513</v>
      </c>
      <c r="E15" s="246" t="s">
        <v>29</v>
      </c>
      <c r="F15" s="245">
        <v>1.990032</v>
      </c>
      <c r="G15" s="252"/>
    </row>
    <row r="16" spans="1:7" ht="13.5" thickBot="1" x14ac:dyDescent="0.25">
      <c r="A16" s="252"/>
      <c r="B16" s="247" t="s">
        <v>96</v>
      </c>
      <c r="C16" s="248"/>
      <c r="D16" s="249"/>
      <c r="E16" s="250"/>
      <c r="F16" s="251">
        <f>'2018-2019'!F10</f>
        <v>303.42034397374226</v>
      </c>
      <c r="G16" s="252"/>
    </row>
    <row r="17" spans="1:7" ht="13.5" thickBot="1" x14ac:dyDescent="0.25">
      <c r="A17" s="252"/>
      <c r="B17" s="258"/>
      <c r="C17" s="259"/>
      <c r="D17" s="260"/>
      <c r="E17" s="261"/>
      <c r="F17" s="262"/>
      <c r="G17" s="252"/>
    </row>
    <row r="18" spans="1:7" ht="13.5" thickBot="1" x14ac:dyDescent="0.25">
      <c r="A18" s="252"/>
      <c r="B18" s="331" t="s">
        <v>31</v>
      </c>
      <c r="C18" s="332"/>
      <c r="D18" s="332"/>
      <c r="E18" s="332"/>
      <c r="F18" s="333"/>
      <c r="G18" s="252"/>
    </row>
    <row r="19" spans="1:7" x14ac:dyDescent="0.2">
      <c r="A19" s="252"/>
      <c r="B19" s="301" t="s">
        <v>21</v>
      </c>
      <c r="C19" s="302">
        <v>579</v>
      </c>
      <c r="D19" s="312">
        <v>50</v>
      </c>
      <c r="E19" s="296" t="s">
        <v>26</v>
      </c>
      <c r="F19" s="304">
        <v>1.03</v>
      </c>
      <c r="G19" s="252"/>
    </row>
    <row r="20" spans="1:7" x14ac:dyDescent="0.2">
      <c r="A20" s="252"/>
      <c r="B20" s="241" t="s">
        <v>22</v>
      </c>
      <c r="C20" s="242">
        <v>579</v>
      </c>
      <c r="D20" s="305">
        <v>299</v>
      </c>
      <c r="E20" s="244" t="s">
        <v>27</v>
      </c>
      <c r="F20" s="245">
        <v>1.3292509199999998</v>
      </c>
      <c r="G20" s="252"/>
    </row>
    <row r="21" spans="1:7" x14ac:dyDescent="0.2">
      <c r="A21" s="252"/>
      <c r="B21" s="241" t="s">
        <v>23</v>
      </c>
      <c r="C21" s="242">
        <f>C20*67/100</f>
        <v>387.93</v>
      </c>
      <c r="D21" s="305">
        <v>249</v>
      </c>
      <c r="E21" s="244" t="s">
        <v>28</v>
      </c>
      <c r="F21" s="245">
        <v>1.77</v>
      </c>
      <c r="G21" s="252"/>
    </row>
    <row r="22" spans="1:7" ht="13.5" thickBot="1" x14ac:dyDescent="0.25">
      <c r="A22" s="252"/>
      <c r="B22" s="247" t="s">
        <v>24</v>
      </c>
      <c r="C22" s="248">
        <f>C19*6/100</f>
        <v>34.74</v>
      </c>
      <c r="D22" s="285">
        <v>602</v>
      </c>
      <c r="E22" s="286" t="s">
        <v>29</v>
      </c>
      <c r="F22" s="251">
        <v>2.13</v>
      </c>
      <c r="G22" s="252"/>
    </row>
    <row r="23" spans="1:7" ht="13.5" thickBot="1" x14ac:dyDescent="0.25">
      <c r="A23" s="252"/>
      <c r="B23" s="258"/>
      <c r="C23" s="259"/>
      <c r="D23" s="260">
        <f>SUM(D19:D22)</f>
        <v>1200</v>
      </c>
      <c r="E23" s="271"/>
      <c r="F23" s="262"/>
      <c r="G23" s="252"/>
    </row>
    <row r="24" spans="1:7" ht="13.5" thickBot="1" x14ac:dyDescent="0.25">
      <c r="A24" s="252"/>
      <c r="B24" s="331" t="s">
        <v>32</v>
      </c>
      <c r="C24" s="332"/>
      <c r="D24" s="332"/>
      <c r="E24" s="332"/>
      <c r="F24" s="333"/>
      <c r="G24" s="252"/>
    </row>
    <row r="25" spans="1:7" x14ac:dyDescent="0.2">
      <c r="A25" s="252"/>
      <c r="B25" s="301" t="s">
        <v>21</v>
      </c>
      <c r="C25" s="302">
        <v>5</v>
      </c>
      <c r="D25" s="303">
        <v>50</v>
      </c>
      <c r="E25" s="296" t="s">
        <v>26</v>
      </c>
      <c r="F25" s="304">
        <v>1.0751554932</v>
      </c>
      <c r="G25" s="252"/>
    </row>
    <row r="26" spans="1:7" x14ac:dyDescent="0.2">
      <c r="A26" s="252"/>
      <c r="B26" s="241" t="s">
        <v>22</v>
      </c>
      <c r="C26" s="242">
        <v>5</v>
      </c>
      <c r="D26" s="305">
        <v>299</v>
      </c>
      <c r="E26" s="244" t="s">
        <v>27</v>
      </c>
      <c r="F26" s="245">
        <v>1.3771654631999999</v>
      </c>
      <c r="G26" s="252"/>
    </row>
    <row r="27" spans="1:7" x14ac:dyDescent="0.2">
      <c r="A27" s="252"/>
      <c r="B27" s="241" t="s">
        <v>23</v>
      </c>
      <c r="C27" s="242">
        <v>5</v>
      </c>
      <c r="D27" s="305">
        <v>249</v>
      </c>
      <c r="E27" s="244" t="s">
        <v>28</v>
      </c>
      <c r="F27" s="245">
        <v>1.8483010163999998</v>
      </c>
      <c r="G27" s="252"/>
    </row>
    <row r="28" spans="1:7" ht="13.5" thickBot="1" x14ac:dyDescent="0.25">
      <c r="A28" s="252"/>
      <c r="B28" s="247" t="s">
        <v>24</v>
      </c>
      <c r="C28" s="248">
        <v>5</v>
      </c>
      <c r="D28" s="285">
        <v>602</v>
      </c>
      <c r="E28" s="286" t="s">
        <v>29</v>
      </c>
      <c r="F28" s="251">
        <v>2.1986325816000001</v>
      </c>
      <c r="G28" s="252"/>
    </row>
    <row r="29" spans="1:7" ht="13.5" thickBot="1" x14ac:dyDescent="0.25">
      <c r="A29" s="252"/>
      <c r="B29" s="258"/>
      <c r="C29" s="259"/>
      <c r="D29" s="260"/>
      <c r="E29" s="271"/>
      <c r="F29" s="262"/>
      <c r="G29" s="252"/>
    </row>
    <row r="30" spans="1:7" ht="13.5" thickBot="1" x14ac:dyDescent="0.25">
      <c r="A30" s="252"/>
      <c r="B30" s="331" t="s">
        <v>42</v>
      </c>
      <c r="C30" s="332"/>
      <c r="D30" s="332"/>
      <c r="E30" s="332"/>
      <c r="F30" s="333"/>
      <c r="G30" s="252"/>
    </row>
    <row r="31" spans="1:7" x14ac:dyDescent="0.2">
      <c r="A31" s="252"/>
      <c r="B31" s="279" t="s">
        <v>44</v>
      </c>
      <c r="C31" s="302">
        <v>10</v>
      </c>
      <c r="D31" s="303">
        <v>16212</v>
      </c>
      <c r="E31" s="296"/>
      <c r="F31" s="304">
        <v>1.4391</v>
      </c>
      <c r="G31" s="252"/>
    </row>
    <row r="32" spans="1:7" x14ac:dyDescent="0.2">
      <c r="A32" s="252"/>
      <c r="B32" s="284" t="s">
        <v>45</v>
      </c>
      <c r="C32" s="242">
        <v>11</v>
      </c>
      <c r="D32" s="305">
        <v>95496</v>
      </c>
      <c r="E32" s="244"/>
      <c r="F32" s="245">
        <v>1.4391</v>
      </c>
      <c r="G32" s="252"/>
    </row>
    <row r="33" spans="1:7" x14ac:dyDescent="0.2">
      <c r="A33" s="252"/>
      <c r="B33" s="306" t="s">
        <v>98</v>
      </c>
      <c r="C33" s="307">
        <f>'2018-2019'!D15</f>
        <v>10</v>
      </c>
      <c r="D33" s="308"/>
      <c r="E33" s="309"/>
      <c r="F33" s="310">
        <f>'2018-2019'!F15</f>
        <v>189.58647539564416</v>
      </c>
      <c r="G33" s="252"/>
    </row>
    <row r="34" spans="1:7" x14ac:dyDescent="0.2">
      <c r="A34" s="252"/>
      <c r="B34" s="306" t="s">
        <v>96</v>
      </c>
      <c r="C34" s="307">
        <f>'2018-2019'!D16</f>
        <v>8</v>
      </c>
      <c r="D34" s="308"/>
      <c r="E34" s="309"/>
      <c r="F34" s="310">
        <f>'2018-2019'!F16</f>
        <v>379.27542996717784</v>
      </c>
      <c r="G34" s="252"/>
    </row>
    <row r="35" spans="1:7" x14ac:dyDescent="0.2">
      <c r="A35" s="252"/>
      <c r="B35" s="306" t="s">
        <v>97</v>
      </c>
      <c r="C35" s="307">
        <f>'2018-2019'!D17</f>
        <v>0</v>
      </c>
      <c r="D35" s="308"/>
      <c r="E35" s="309"/>
      <c r="F35" s="310">
        <f>'2018-2019'!F17</f>
        <v>625.80445944584346</v>
      </c>
      <c r="G35" s="252"/>
    </row>
    <row r="36" spans="1:7" ht="13.5" thickBot="1" x14ac:dyDescent="0.25">
      <c r="A36" s="252"/>
      <c r="B36" s="288"/>
      <c r="C36" s="248"/>
      <c r="D36" s="285"/>
      <c r="E36" s="286"/>
      <c r="F36" s="251"/>
      <c r="G36" s="252"/>
    </row>
    <row r="37" spans="1:7" ht="13.5" thickBot="1" x14ac:dyDescent="0.25">
      <c r="A37" s="252"/>
      <c r="B37" s="268"/>
      <c r="C37" s="259"/>
      <c r="D37" s="260"/>
      <c r="E37" s="271"/>
      <c r="F37" s="262"/>
      <c r="G37" s="252"/>
    </row>
    <row r="38" spans="1:7" ht="13.5" thickBot="1" x14ac:dyDescent="0.25">
      <c r="A38" s="252"/>
      <c r="B38" s="331" t="s">
        <v>43</v>
      </c>
      <c r="C38" s="332"/>
      <c r="D38" s="332"/>
      <c r="E38" s="332"/>
      <c r="F38" s="333"/>
      <c r="G38" s="252"/>
    </row>
    <row r="39" spans="1:7" ht="13.5" thickBot="1" x14ac:dyDescent="0.25">
      <c r="A39" s="252"/>
      <c r="B39" s="284" t="s">
        <v>50</v>
      </c>
      <c r="C39" s="280">
        <v>58</v>
      </c>
      <c r="D39" s="281">
        <f>61399*12</f>
        <v>736788</v>
      </c>
      <c r="E39" s="311"/>
      <c r="F39" s="300">
        <v>1.3907609999999999</v>
      </c>
      <c r="G39" s="252"/>
    </row>
    <row r="40" spans="1:7" ht="13.5" thickBot="1" x14ac:dyDescent="0.25">
      <c r="A40" s="252"/>
      <c r="B40" s="258"/>
      <c r="C40" s="259"/>
      <c r="D40" s="260"/>
      <c r="E40" s="272"/>
      <c r="F40" s="262"/>
      <c r="G40" s="252"/>
    </row>
    <row r="41" spans="1:7" ht="13.5" thickBot="1" x14ac:dyDescent="0.25">
      <c r="A41" s="252"/>
      <c r="B41" s="331" t="s">
        <v>36</v>
      </c>
      <c r="C41" s="332"/>
      <c r="D41" s="332"/>
      <c r="E41" s="332"/>
      <c r="F41" s="333"/>
      <c r="G41" s="252"/>
    </row>
    <row r="42" spans="1:7" x14ac:dyDescent="0.2">
      <c r="A42" s="252"/>
      <c r="B42" s="301" t="s">
        <v>44</v>
      </c>
      <c r="C42" s="302">
        <v>89</v>
      </c>
      <c r="D42" s="303">
        <f>51875*12</f>
        <v>622500</v>
      </c>
      <c r="E42" s="296"/>
      <c r="F42" s="304">
        <v>2.0606741999999998</v>
      </c>
      <c r="G42" s="252"/>
    </row>
    <row r="43" spans="1:7" ht="13.5" thickBot="1" x14ac:dyDescent="0.25">
      <c r="A43" s="252"/>
      <c r="B43" s="247" t="s">
        <v>45</v>
      </c>
      <c r="C43" s="248">
        <v>20</v>
      </c>
      <c r="D43" s="285">
        <f>307141*12</f>
        <v>3685692</v>
      </c>
      <c r="E43" s="286"/>
      <c r="F43" s="251">
        <v>2.0730879</v>
      </c>
      <c r="G43" s="252"/>
    </row>
    <row r="44" spans="1:7" ht="13.5" thickBot="1" x14ac:dyDescent="0.25">
      <c r="A44" s="252"/>
      <c r="B44" s="268"/>
      <c r="C44" s="259"/>
      <c r="D44" s="260"/>
      <c r="E44" s="271"/>
      <c r="F44" s="262"/>
      <c r="G44" s="252"/>
    </row>
    <row r="45" spans="1:7" ht="13.5" thickBot="1" x14ac:dyDescent="0.25">
      <c r="A45" s="252"/>
      <c r="B45" s="331" t="s">
        <v>103</v>
      </c>
      <c r="C45" s="332"/>
      <c r="D45" s="332"/>
      <c r="E45" s="332"/>
      <c r="F45" s="333"/>
      <c r="G45" s="252"/>
    </row>
    <row r="46" spans="1:7" ht="13.5" thickBot="1" x14ac:dyDescent="0.25">
      <c r="A46" s="252"/>
      <c r="B46" s="284" t="s">
        <v>50</v>
      </c>
      <c r="C46" s="298">
        <v>49</v>
      </c>
      <c r="D46" s="299">
        <f>51875*12</f>
        <v>622500</v>
      </c>
      <c r="E46" s="282"/>
      <c r="F46" s="300">
        <v>1.6519999999999999</v>
      </c>
      <c r="G46" s="252"/>
    </row>
    <row r="47" spans="1:7" ht="13.5" thickBot="1" x14ac:dyDescent="0.25">
      <c r="A47" s="252"/>
      <c r="B47" s="288" t="s">
        <v>98</v>
      </c>
      <c r="C47" s="298">
        <v>49</v>
      </c>
      <c r="D47" s="299"/>
      <c r="E47" s="282"/>
      <c r="F47" s="300">
        <f>'2018-2019'!F25</f>
        <v>912.144477859164</v>
      </c>
      <c r="G47" s="252"/>
    </row>
    <row r="48" spans="1:7" ht="13.5" thickBot="1" x14ac:dyDescent="0.25">
      <c r="A48" s="252"/>
      <c r="B48" s="268"/>
      <c r="C48" s="269"/>
      <c r="D48" s="270"/>
      <c r="E48" s="271"/>
      <c r="F48" s="262"/>
      <c r="G48" s="252"/>
    </row>
    <row r="49" spans="1:7" ht="13.5" thickBot="1" x14ac:dyDescent="0.25">
      <c r="A49" s="252"/>
      <c r="B49" s="337" t="s">
        <v>59</v>
      </c>
      <c r="C49" s="338"/>
      <c r="D49" s="338"/>
      <c r="E49" s="338"/>
      <c r="F49" s="339"/>
      <c r="G49" s="252"/>
    </row>
    <row r="50" spans="1:7" ht="13.5" thickBot="1" x14ac:dyDescent="0.25">
      <c r="A50" s="252"/>
      <c r="B50" s="284" t="s">
        <v>50</v>
      </c>
      <c r="C50" s="313">
        <v>112</v>
      </c>
      <c r="D50" s="313">
        <v>3685692</v>
      </c>
      <c r="E50" s="313"/>
      <c r="F50" s="300">
        <v>1.6519999999999999</v>
      </c>
      <c r="G50" s="252"/>
    </row>
    <row r="51" spans="1:7" ht="13.5" thickBot="1" x14ac:dyDescent="0.25">
      <c r="A51" s="252"/>
      <c r="B51" s="288" t="s">
        <v>95</v>
      </c>
      <c r="C51" s="289"/>
      <c r="D51" s="290"/>
      <c r="E51" s="286"/>
      <c r="F51" s="251">
        <f>'2018-2019'!F26</f>
        <v>1268.1263638667574</v>
      </c>
      <c r="G51" s="252"/>
    </row>
    <row r="52" spans="1:7" ht="13.5" thickBot="1" x14ac:dyDescent="0.25">
      <c r="A52" s="252"/>
      <c r="B52" s="288" t="s">
        <v>96</v>
      </c>
      <c r="C52" s="289"/>
      <c r="D52" s="290"/>
      <c r="E52" s="286"/>
      <c r="F52" s="251">
        <f>'2018-2019'!F27</f>
        <v>1536.0654913670703</v>
      </c>
      <c r="G52" s="252"/>
    </row>
    <row r="53" spans="1:7" ht="13.5" thickBot="1" x14ac:dyDescent="0.25">
      <c r="A53" s="252"/>
      <c r="B53" s="288" t="s">
        <v>97</v>
      </c>
      <c r="C53" s="289"/>
      <c r="D53" s="290"/>
      <c r="E53" s="286"/>
      <c r="F53" s="251">
        <f>'2018-2019'!F28</f>
        <v>2609.2822117736951</v>
      </c>
      <c r="G53" s="252"/>
    </row>
    <row r="54" spans="1:7" ht="13.5" thickBot="1" x14ac:dyDescent="0.25">
      <c r="A54" s="252"/>
      <c r="B54" s="288"/>
      <c r="C54" s="289"/>
      <c r="D54" s="290"/>
      <c r="E54" s="286"/>
      <c r="F54" s="251"/>
      <c r="G54" s="252"/>
    </row>
    <row r="55" spans="1:7" ht="13.5" thickBot="1" x14ac:dyDescent="0.25">
      <c r="A55" s="252"/>
      <c r="B55" s="268"/>
      <c r="C55" s="269"/>
      <c r="D55" s="270"/>
      <c r="E55" s="271"/>
      <c r="F55" s="262"/>
      <c r="G55" s="252"/>
    </row>
    <row r="56" spans="1:7" ht="13.5" thickBot="1" x14ac:dyDescent="0.25">
      <c r="A56" s="252"/>
      <c r="B56" s="331" t="s">
        <v>33</v>
      </c>
      <c r="C56" s="332"/>
      <c r="D56" s="332"/>
      <c r="E56" s="332"/>
      <c r="F56" s="333"/>
      <c r="G56" s="252"/>
    </row>
    <row r="57" spans="1:7" x14ac:dyDescent="0.2">
      <c r="A57" s="252"/>
      <c r="B57" s="284" t="s">
        <v>50</v>
      </c>
      <c r="C57" s="294">
        <v>31</v>
      </c>
      <c r="D57" s="295">
        <v>696398</v>
      </c>
      <c r="E57" s="296"/>
      <c r="F57" s="297">
        <f>'2018-2019'!F85</f>
        <v>1.127</v>
      </c>
      <c r="G57" s="252"/>
    </row>
    <row r="58" spans="1:7" ht="13.5" thickBot="1" x14ac:dyDescent="0.25">
      <c r="A58" s="252"/>
      <c r="B58" s="288" t="s">
        <v>104</v>
      </c>
      <c r="C58" s="289"/>
      <c r="D58" s="290"/>
      <c r="E58" s="286"/>
      <c r="F58" s="251">
        <f>'2018-2019'!F29</f>
        <v>4954.868154259133</v>
      </c>
      <c r="G58" s="252"/>
    </row>
    <row r="59" spans="1:7" ht="13.5" thickBot="1" x14ac:dyDescent="0.25">
      <c r="A59" s="252"/>
      <c r="B59" s="288" t="s">
        <v>100</v>
      </c>
      <c r="C59" s="289"/>
      <c r="D59" s="290"/>
      <c r="E59" s="286"/>
      <c r="F59" s="251">
        <f>'2018-2019'!G101</f>
        <v>171.14300979959998</v>
      </c>
      <c r="G59" s="252"/>
    </row>
    <row r="60" spans="1:7" ht="13.5" thickBot="1" x14ac:dyDescent="0.25">
      <c r="A60" s="252"/>
      <c r="B60" s="288" t="s">
        <v>101</v>
      </c>
      <c r="C60" s="289"/>
      <c r="D60" s="290"/>
      <c r="E60" s="286"/>
      <c r="F60" s="251">
        <f>'2018-2019'!G102</f>
        <v>171.54166296</v>
      </c>
      <c r="G60" s="252"/>
    </row>
    <row r="61" spans="1:7" ht="13.5" thickBot="1" x14ac:dyDescent="0.25">
      <c r="A61" s="252"/>
      <c r="B61" s="263"/>
      <c r="C61" s="264"/>
      <c r="D61" s="265"/>
      <c r="E61" s="266"/>
      <c r="F61" s="267"/>
      <c r="G61" s="252"/>
    </row>
    <row r="62" spans="1:7" x14ac:dyDescent="0.2">
      <c r="A62" s="252"/>
      <c r="B62" s="334" t="s">
        <v>11</v>
      </c>
      <c r="C62" s="335"/>
      <c r="D62" s="335"/>
      <c r="E62" s="335"/>
      <c r="F62" s="336"/>
      <c r="G62" s="252"/>
    </row>
    <row r="63" spans="1:7" x14ac:dyDescent="0.2">
      <c r="A63" s="252"/>
      <c r="B63" s="284" t="s">
        <v>50</v>
      </c>
      <c r="C63" s="242">
        <v>0</v>
      </c>
      <c r="D63" s="243"/>
      <c r="E63" s="243"/>
      <c r="F63" s="245">
        <v>1.3907609999999999</v>
      </c>
      <c r="G63" s="252"/>
    </row>
    <row r="64" spans="1:7" x14ac:dyDescent="0.2">
      <c r="A64" s="252"/>
      <c r="B64" s="284" t="s">
        <v>98</v>
      </c>
      <c r="C64" s="291"/>
      <c r="D64" s="292"/>
      <c r="E64" s="244"/>
      <c r="F64" s="245">
        <f>'2018-2019'!F39</f>
        <v>912.144477859164</v>
      </c>
      <c r="G64" s="252"/>
    </row>
    <row r="65" spans="1:7" x14ac:dyDescent="0.2">
      <c r="A65" s="252"/>
      <c r="B65" s="284" t="s">
        <v>96</v>
      </c>
      <c r="C65" s="291"/>
      <c r="D65" s="292"/>
      <c r="E65" s="244"/>
      <c r="F65" s="245">
        <f>'2018-2019'!F40</f>
        <v>1395.1214910818637</v>
      </c>
      <c r="G65" s="252"/>
    </row>
    <row r="66" spans="1:7" ht="13.5" thickBot="1" x14ac:dyDescent="0.25">
      <c r="A66" s="252"/>
      <c r="B66" s="288" t="s">
        <v>97</v>
      </c>
      <c r="C66" s="289"/>
      <c r="D66" s="293"/>
      <c r="E66" s="286"/>
      <c r="F66" s="251">
        <f>'2018-2019'!F41</f>
        <v>2584.3268810772743</v>
      </c>
      <c r="G66" s="252"/>
    </row>
    <row r="67" spans="1:7" ht="13.5" thickBot="1" x14ac:dyDescent="0.25">
      <c r="A67" s="252"/>
      <c r="B67" s="278"/>
      <c r="C67" s="254"/>
      <c r="D67" s="255"/>
      <c r="E67" s="256"/>
      <c r="F67" s="257"/>
      <c r="G67" s="252"/>
    </row>
    <row r="68" spans="1:7" ht="13.5" thickBot="1" x14ac:dyDescent="0.25">
      <c r="A68" s="252"/>
      <c r="B68" s="331" t="s">
        <v>13</v>
      </c>
      <c r="C68" s="332"/>
      <c r="D68" s="332"/>
      <c r="E68" s="332"/>
      <c r="F68" s="333"/>
      <c r="G68" s="252"/>
    </row>
    <row r="69" spans="1:7" ht="13.5" thickBot="1" x14ac:dyDescent="0.25">
      <c r="A69" s="252"/>
      <c r="B69" s="279" t="s">
        <v>50</v>
      </c>
      <c r="C69" s="280">
        <v>3</v>
      </c>
      <c r="D69" s="281">
        <v>404096</v>
      </c>
      <c r="E69" s="282"/>
      <c r="F69" s="283">
        <v>1.0967789999999999</v>
      </c>
      <c r="G69" s="252"/>
    </row>
    <row r="70" spans="1:7" ht="13.5" thickBot="1" x14ac:dyDescent="0.25">
      <c r="A70" s="252"/>
      <c r="B70" s="284" t="s">
        <v>102</v>
      </c>
      <c r="C70" s="248"/>
      <c r="D70" s="285"/>
      <c r="E70" s="286"/>
      <c r="F70" s="287">
        <f>'2018-2019'!G103</f>
        <v>148.58890523999997</v>
      </c>
      <c r="G70" s="252"/>
    </row>
    <row r="71" spans="1:7" ht="13.5" thickBot="1" x14ac:dyDescent="0.25">
      <c r="A71" s="252"/>
      <c r="B71" s="288" t="s">
        <v>104</v>
      </c>
      <c r="C71" s="289"/>
      <c r="D71" s="290"/>
      <c r="E71" s="286"/>
      <c r="F71" s="251">
        <f>'2018-2019'!F42</f>
        <v>4954.868154259133</v>
      </c>
      <c r="G71" s="252"/>
    </row>
    <row r="72" spans="1:7" x14ac:dyDescent="0.2">
      <c r="A72" s="252"/>
      <c r="B72" s="314"/>
      <c r="C72" s="315"/>
      <c r="D72" s="316"/>
      <c r="E72" s="317"/>
      <c r="F72" s="318"/>
      <c r="G72" s="252"/>
    </row>
    <row r="73" spans="1:7" ht="13.5" thickBot="1" x14ac:dyDescent="0.25">
      <c r="A73" s="252"/>
      <c r="B73" s="314"/>
      <c r="C73" s="315"/>
      <c r="D73" s="316"/>
      <c r="E73" s="317"/>
      <c r="F73" s="318"/>
      <c r="G73" s="252"/>
    </row>
    <row r="74" spans="1:7" ht="13.5" thickBot="1" x14ac:dyDescent="0.25">
      <c r="A74" s="252"/>
      <c r="B74" s="331" t="s">
        <v>92</v>
      </c>
      <c r="C74" s="332"/>
      <c r="D74" s="332"/>
      <c r="E74" s="332"/>
      <c r="F74" s="333"/>
      <c r="G74" s="252"/>
    </row>
    <row r="75" spans="1:7" ht="13.5" thickBot="1" x14ac:dyDescent="0.25">
      <c r="A75" s="252"/>
      <c r="B75" s="331" t="s">
        <v>106</v>
      </c>
      <c r="C75" s="332"/>
      <c r="D75" s="332"/>
      <c r="E75" s="332"/>
      <c r="F75" s="333"/>
      <c r="G75" s="252"/>
    </row>
    <row r="76" spans="1:7" ht="23.25" thickBot="1" x14ac:dyDescent="0.25">
      <c r="A76" s="252"/>
      <c r="B76" s="321"/>
      <c r="C76" s="321"/>
      <c r="D76" s="323"/>
      <c r="E76" s="323"/>
      <c r="F76" s="322" t="s">
        <v>64</v>
      </c>
      <c r="G76" s="252"/>
    </row>
    <row r="77" spans="1:7" ht="13.5" thickBot="1" x14ac:dyDescent="0.25">
      <c r="A77" s="252"/>
      <c r="B77" s="279" t="s">
        <v>50</v>
      </c>
      <c r="C77" s="324">
        <v>0</v>
      </c>
      <c r="D77" s="325">
        <v>0</v>
      </c>
      <c r="E77" s="320"/>
      <c r="F77" s="251">
        <v>0.79148999999999992</v>
      </c>
      <c r="G77" s="252"/>
    </row>
    <row r="78" spans="1:7" x14ac:dyDescent="0.2">
      <c r="A78" s="252"/>
      <c r="B78" s="252"/>
      <c r="C78" s="319"/>
      <c r="D78" s="319"/>
      <c r="E78" s="319"/>
      <c r="F78" s="318"/>
      <c r="G78" s="252"/>
    </row>
    <row r="79" spans="1:7" x14ac:dyDescent="0.2">
      <c r="A79" s="252"/>
      <c r="B79" s="252"/>
      <c r="C79" s="252"/>
      <c r="D79" s="252"/>
      <c r="E79" s="252"/>
      <c r="F79" s="252"/>
      <c r="G79" s="252"/>
    </row>
  </sheetData>
  <mergeCells count="14">
    <mergeCell ref="B18:F18"/>
    <mergeCell ref="B4:F4"/>
    <mergeCell ref="B11:F11"/>
    <mergeCell ref="B49:F49"/>
    <mergeCell ref="B45:F45"/>
    <mergeCell ref="B41:F41"/>
    <mergeCell ref="B74:F74"/>
    <mergeCell ref="B75:F75"/>
    <mergeCell ref="B38:F38"/>
    <mergeCell ref="B30:F30"/>
    <mergeCell ref="B24:F24"/>
    <mergeCell ref="B56:F56"/>
    <mergeCell ref="B62:F62"/>
    <mergeCell ref="B68:F6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2018-2019</vt:lpstr>
      <vt:lpstr>Application</vt:lpstr>
      <vt:lpstr>Application!Print_Area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Khathutshelo Mabija</cp:lastModifiedBy>
  <cp:lastPrinted>2019-07-03T11:00:38Z</cp:lastPrinted>
  <dcterms:created xsi:type="dcterms:W3CDTF">2009-07-02T09:06:42Z</dcterms:created>
  <dcterms:modified xsi:type="dcterms:W3CDTF">2020-03-23T08:16:09Z</dcterms:modified>
</cp:coreProperties>
</file>